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awvncrm.sharepoint.com/sites/afdelingen/Internationaal_Fiscaal/Niet_gedeeld/- ARCHIEFJAN/000000TOOLS/"/>
    </mc:Choice>
  </mc:AlternateContent>
  <xr:revisionPtr revIDLastSave="20" documentId="8_{18014BD3-AA18-4269-B99F-83F9392E15E3}" xr6:coauthVersionLast="47" xr6:coauthVersionMax="47" xr10:uidLastSave="{08DCDB80-40BC-4485-881A-F52CA58D2775}"/>
  <workbookProtection workbookAlgorithmName="SHA-512" workbookHashValue="VrgXyhF+xVsQyXhKPwPwc/Bw08DfRoFpfDrQfxWsmObDyRs/TDyRdkg/lcraafneQcbcUw4oQ06WjTe7rPO1/Q==" workbookSaltValue="VnBAB8jVPBKQOZ5hgSl37A==" workbookSpinCount="100000" lockStructure="1"/>
  <bookViews>
    <workbookView xWindow="-12465" yWindow="-21720" windowWidth="51840" windowHeight="21120" xr2:uid="{86482026-DAAE-491E-AB0C-B627991DBA1E}"/>
  </bookViews>
  <sheets>
    <sheet name="Tool" sheetId="1" r:id="rId1"/>
    <sheet name="lijsten" sheetId="3" state="veryHidden" r:id="rId2"/>
    <sheet name="hulp" sheetId="4"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3" i="3"/>
  <c r="A4"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3" i="3"/>
  <c r="C7" i="1"/>
  <c r="G35" i="1" s="1"/>
  <c r="C8" i="1"/>
  <c r="G37" i="1" s="1"/>
  <c r="C9" i="1"/>
  <c r="G36" i="1" s="1"/>
  <c r="C36" i="1" s="1"/>
  <c r="C40" i="1" l="1"/>
  <c r="D33" i="1"/>
  <c r="D36" i="1" s="1"/>
  <c r="C33" i="1"/>
  <c r="C37" i="1" s="1"/>
  <c r="G34" i="1"/>
  <c r="D35" i="1" l="1"/>
  <c r="C34" i="1"/>
  <c r="C35" i="1"/>
  <c r="E37" i="1"/>
  <c r="D40" i="1"/>
  <c r="D34" i="1"/>
  <c r="C22" i="4"/>
  <c r="C13" i="4"/>
  <c r="C14" i="4" s="1"/>
  <c r="C15" i="4"/>
  <c r="C8" i="4"/>
  <c r="C6" i="4"/>
  <c r="C20" i="4" s="1"/>
  <c r="G40" i="1"/>
  <c r="C16" i="4" l="1"/>
  <c r="D22" i="4" s="1"/>
  <c r="E22" i="4" s="1"/>
  <c r="F22" i="4" s="1"/>
  <c r="D42" i="1" s="1"/>
  <c r="E34" i="1"/>
  <c r="E36" i="1"/>
  <c r="G38" i="1"/>
  <c r="E35" i="1"/>
  <c r="C38" i="1"/>
  <c r="E40" i="1"/>
  <c r="C7" i="4"/>
  <c r="C9" i="4" s="1"/>
  <c r="C21" i="4"/>
  <c r="E33" i="1"/>
  <c r="C17" i="4" l="1"/>
  <c r="D41" i="1" s="1"/>
  <c r="D43" i="1" s="1"/>
  <c r="E38" i="1"/>
  <c r="E47" i="1" s="1"/>
  <c r="B64" i="1" s="1"/>
  <c r="D38" i="1"/>
  <c r="C10" i="4"/>
  <c r="G41" i="1" s="1"/>
  <c r="D20" i="4"/>
  <c r="D21" i="4" s="1"/>
  <c r="E21" i="4" s="1"/>
  <c r="F21" i="4" s="1"/>
  <c r="C42" i="1" s="1"/>
  <c r="C41" i="1" l="1"/>
  <c r="E41" i="1" s="1"/>
  <c r="D46" i="1"/>
  <c r="D48" i="1"/>
  <c r="E20" i="4"/>
  <c r="F20" i="4" s="1"/>
  <c r="G42" i="1" s="1"/>
  <c r="G43" i="1" s="1"/>
  <c r="E45" i="1" s="1"/>
  <c r="E42" i="1"/>
  <c r="E43" i="1" l="1"/>
  <c r="E48" i="1" s="1"/>
  <c r="C43" i="1"/>
  <c r="C48" i="1" s="1"/>
  <c r="G48" i="1"/>
  <c r="C49" i="1" l="1"/>
  <c r="C50" i="1"/>
  <c r="B61" i="1" s="1"/>
  <c r="E46" i="1"/>
  <c r="E58" i="1" s="1"/>
  <c r="E59" i="1" s="1"/>
  <c r="C46" i="1"/>
  <c r="E49" i="1"/>
  <c r="E50" i="1" s="1"/>
  <c r="B63" i="1" s="1"/>
  <c r="D49" i="1"/>
  <c r="D50" i="1" s="1"/>
  <c r="B62" i="1" s="1"/>
</calcChain>
</file>

<file path=xl/sharedStrings.xml><?xml version="1.0" encoding="utf-8"?>
<sst xmlns="http://schemas.openxmlformats.org/spreadsheetml/2006/main" count="102" uniqueCount="89">
  <si>
    <t>maand</t>
  </si>
  <si>
    <t>4-weken</t>
  </si>
  <si>
    <t>Generatiepact variant pensioenopbouw</t>
  </si>
  <si>
    <t>Pensioenfranchise</t>
  </si>
  <si>
    <t>Bruto voltijd jaarinkomen vervanger</t>
  </si>
  <si>
    <t>FTE vervanger</t>
  </si>
  <si>
    <t>vervanger</t>
  </si>
  <si>
    <t>totaal</t>
  </si>
  <si>
    <t>Pensioenbijdrage werknemersdeel van PG</t>
  </si>
  <si>
    <t>Pensioenbijdrage werkgeversdeel van PG</t>
  </si>
  <si>
    <t>gemiddelde werkgeversheffingen SV van bruto</t>
  </si>
  <si>
    <t>Loonkosten</t>
  </si>
  <si>
    <t>Huidige loonkosten werknemer</t>
  </si>
  <si>
    <t>uren</t>
  </si>
  <si>
    <t>Bruto voltijd jaarinkomen werknemer vòòr deelname</t>
  </si>
  <si>
    <t xml:space="preserve"> (i) uit pensioenregeling</t>
  </si>
  <si>
    <t>Gegevens arbeidsduur werknemer vòòr deelname aan GP</t>
  </si>
  <si>
    <t>Duur deelname, vervanging en voltijd inkomens</t>
  </si>
  <si>
    <t>Aantal maanden dat werknemer gebruik wil maken van GP</t>
  </si>
  <si>
    <t>deelnemer aan GP</t>
  </si>
  <si>
    <t>situatie vòòr GP</t>
  </si>
  <si>
    <t>bruto inkomen</t>
  </si>
  <si>
    <t>PG</t>
  </si>
  <si>
    <t>PGS (gemaximimeerd)</t>
  </si>
  <si>
    <t>pensioenlasten vervanger per 1 FTE</t>
  </si>
  <si>
    <t>pensioenlasten deelnemer per 1 FTE en 0,8 FTE</t>
  </si>
  <si>
    <t>Bruto loon en SV loon werknemer</t>
  </si>
  <si>
    <t>Bruto loon en SV loon deelnemer</t>
  </si>
  <si>
    <t>Bruto loon en SV loon vervanger</t>
  </si>
  <si>
    <t>bruto</t>
  </si>
  <si>
    <t>wn pensioen</t>
  </si>
  <si>
    <t>SV lasten</t>
  </si>
  <si>
    <t>SV loon (gemaximeerd)</t>
  </si>
  <si>
    <t>Extra loonkosten in euros</t>
  </si>
  <si>
    <t>Generatiepact variant werken (selecteer)</t>
  </si>
  <si>
    <t>voltijdnorm</t>
  </si>
  <si>
    <t>betalingsperiode</t>
  </si>
  <si>
    <t>loon GP</t>
  </si>
  <si>
    <t>arbeidsduur GP</t>
  </si>
  <si>
    <t>duur GP in maanden</t>
  </si>
  <si>
    <t>Uitgangspunten Generatiepactregeling (minimumbepaling)</t>
  </si>
  <si>
    <t>Generatiepact variant loon (selecteer)</t>
  </si>
  <si>
    <t>Extra beschikbare uren per jaar</t>
  </si>
  <si>
    <t>Loonkosten per (netto) uur nja</t>
  </si>
  <si>
    <t xml:space="preserve"> (i) schatting werknemersverzekeringen, incl. ZVW</t>
  </si>
  <si>
    <t>Loonkosten per uur in percentage oud</t>
  </si>
  <si>
    <t>Ja</t>
  </si>
  <si>
    <t>leeftijdsvakantie</t>
  </si>
  <si>
    <t>Nee</t>
  </si>
  <si>
    <t>SV lasten werkgever (over SV loon berekend)</t>
  </si>
  <si>
    <t xml:space="preserve"> (i) standaard op 100%</t>
  </si>
  <si>
    <t>Uurloonkostenstijging in percentage</t>
  </si>
  <si>
    <t>Bruto inkomen</t>
  </si>
  <si>
    <t>Pensioenkosten werkgever</t>
  </si>
  <si>
    <t>Beschikbare netto jaarlijkse arbeidsduur per jaar (NJA)</t>
  </si>
  <si>
    <t>Bruto jaarlijkse arbeidsduur (BJA)</t>
  </si>
  <si>
    <t>Bruto arbeidsduur in percentage</t>
  </si>
  <si>
    <t>Basisvakantie, incl. wettelijk deel</t>
  </si>
  <si>
    <t>Eventuele extra vakantiedag ploegen</t>
  </si>
  <si>
    <t xml:space="preserve"> Op jaarbasis bedragen de extra loonkosten in dit scenario:</t>
  </si>
  <si>
    <t xml:space="preserve"> Gedurende het aantal maanden dat de werknemer deelneemt zijn de totale kosten:</t>
  </si>
  <si>
    <t xml:space="preserve"> TOELICHTING op de kosten</t>
  </si>
  <si>
    <t>Disclaimer: Aan de uitkomst van deze berekeningen kunnen geen rechten worden ontleend. Doel van de tool is om de werkgeverslasten (loonaanvulling en pensioen) van deelname aan een</t>
  </si>
  <si>
    <t>Leeftijdsvakantie</t>
  </si>
  <si>
    <t>generatiepactregeling in kaart te brengen. De werkelijke uitkomsten en mogelijkheden zijn van meer factoren afhankelijk.</t>
  </si>
  <si>
    <t>Bruto arbeidsduur per week (36, 37, 38, 39 of 40)</t>
  </si>
  <si>
    <t>leeftijdsvakantie (6 dagen)</t>
  </si>
  <si>
    <t>ploegendienst</t>
  </si>
  <si>
    <t xml:space="preserve"> Indicatie jaarlijkse kosten werkgever generatiepactregeling inclusief vervanging. Kosten zijn per deelnemer.</t>
  </si>
  <si>
    <t>Pensioenregeling en werknemersverzekeringen SV (2023)</t>
  </si>
  <si>
    <t>Basisvakantie</t>
  </si>
  <si>
    <t>Eventuele extra vakantiedag ploegendienst</t>
  </si>
  <si>
    <t xml:space="preserve"> Het bruto loon van de vervanger is in dit model ingeschat op 90% van het loon van de oudere werknemer.</t>
  </si>
  <si>
    <t xml:space="preserve"> (i) zie ook toelichting.</t>
  </si>
  <si>
    <t xml:space="preserve"> Dit loonverschil van 10% is ongeveer gelijk aan met verschil tussen de maximum en het minimum van de functiejarenschaal. </t>
  </si>
  <si>
    <t xml:space="preserve"> De extra loonkosten zijn afgezet tegen dezelfde werknemer zonder gebruikmaking van de GP regeling.</t>
  </si>
  <si>
    <t>Deelnemer behoudt recht op leeftijdsvakantie en eventuele extra vakantiedag in de ploegendienst (selecteer)</t>
  </si>
  <si>
    <t xml:space="preserve"> FTE tussen 0,00 en 1,00</t>
  </si>
  <si>
    <t xml:space="preserve"> maanden</t>
  </si>
  <si>
    <t xml:space="preserve"> per jaar</t>
  </si>
  <si>
    <t xml:space="preserve"> per week</t>
  </si>
  <si>
    <t xml:space="preserve"> Deze activiteit is een initiatief van MITT en mede mogelijk gemaakt door het Ministerie van Sociale Zaken en Werkgelegenheid:</t>
  </si>
  <si>
    <t xml:space="preserve"> Indien gewenst kan een ander bedrag aan bruto loon worden ingevuld, bijvoorbeeld omdat aan de vervanger hoger loon moet worden geboden.</t>
  </si>
  <si>
    <t>Werkzaam in ploegendienst?</t>
  </si>
  <si>
    <t>maximum pgs 2024</t>
  </si>
  <si>
    <t>maximum premieloon SV 2024</t>
  </si>
  <si>
    <t xml:space="preserve"> (i) hoger loon dan 90% afspreken is mogelijk</t>
  </si>
  <si>
    <t xml:space="preserve"> (i) hogere en lagere arbeidsduur dan 80% (van de contractuele uren) is in overleg mogelijk</t>
  </si>
  <si>
    <t>Generatiepact tool MITT voor Werkgevers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</si>
</sst>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 &quot;€&quot;\ * #,##0.00_ ;_ &quot;€&quot;\ * \-#,##0.00_ ;_ &quot;€&quot;\ * &quot;-&quot;??_ ;_ @_ "/>
    <numFmt numFmtId="43" formatCode="_ * #,##0.00_ ;_ * \-#,##0.00_ ;_ * &quot;-&quot;??_ ;_ @_ "/>
    <numFmt numFmtId="164" formatCode="&quot;€&quot;\ #,##0"/>
    <numFmt numFmtId="165" formatCode="_ * #,##0_ ;_ * \-#,##0_ ;_ * &quot;-&quot;??_ ;_ @_ "/>
    <numFmt numFmtId="166" formatCode="#,##0.0"/>
    <numFmt numFmtId="167" formatCode="0.00_ ;\-0.00\ "/>
    <numFmt numFmtId="168" formatCode="_ &quot;€&quot;\ * #,##0_ ;_ &quot;€&quot;\ * \-#,##0_ ;_ &quot;€&quot;\ * &quot;-&quot;??_ ;_ @_ "/>
    <numFmt numFmtId="169" formatCode="#,##0_ ;\-#,##0\ "/>
    <numFmt numFmtId="170" formatCode="0_ ;\-0\ "/>
    <numFmt numFmtId="171" formatCode="0.0_ ;\-0.0\ "/>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scheme val="minor"/>
    </font>
    <font>
      <sz val="8"/>
      <name val="Calibri"/>
      <family val="2"/>
      <scheme val="minor"/>
    </font>
    <font>
      <i/>
      <sz val="11"/>
      <color theme="1"/>
      <name val="Verdana"/>
      <family val="2"/>
    </font>
    <font>
      <i/>
      <sz val="10"/>
      <color theme="1"/>
      <name val="Verdana"/>
      <family val="2"/>
    </font>
    <font>
      <i/>
      <sz val="10"/>
      <color rgb="FFFF0000"/>
      <name val="Calibri"/>
      <family val="2"/>
      <scheme val="minor"/>
    </font>
    <font>
      <b/>
      <sz val="10"/>
      <color theme="1"/>
      <name val="Verdana"/>
      <family val="2"/>
    </font>
    <font>
      <sz val="10"/>
      <color theme="1"/>
      <name val="Verdana"/>
      <family val="2"/>
    </font>
    <font>
      <i/>
      <sz val="10"/>
      <color rgb="FFED40A9"/>
      <name val="Calibri"/>
      <family val="2"/>
      <scheme val="minor"/>
    </font>
    <font>
      <b/>
      <sz val="14"/>
      <color theme="0"/>
      <name val="Verdana"/>
      <family val="2"/>
    </font>
    <font>
      <b/>
      <sz val="14"/>
      <color theme="0"/>
      <name val="Calibri"/>
      <family val="2"/>
      <scheme val="minor"/>
    </font>
    <font>
      <sz val="14"/>
      <color theme="0"/>
      <name val="Calibri"/>
      <family val="2"/>
      <scheme val="minor"/>
    </font>
    <font>
      <sz val="11"/>
      <color rgb="FFFF0000"/>
      <name val="Calibri"/>
      <family val="2"/>
      <scheme val="minor"/>
    </font>
    <font>
      <i/>
      <sz val="11"/>
      <color theme="1"/>
      <name val="Calibri"/>
      <family val="2"/>
      <scheme val="minor"/>
    </font>
    <font>
      <i/>
      <sz val="11"/>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EF43B6"/>
        <bgColor indexed="64"/>
      </patternFill>
    </fill>
    <fill>
      <patternFill patternType="solid">
        <fgColor rgb="FF9BD6F4"/>
        <bgColor indexed="64"/>
      </patternFill>
    </fill>
    <fill>
      <patternFill patternType="solid">
        <fgColor rgb="FFDBEDF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4" fontId="2" fillId="0" borderId="0" applyFont="0" applyFill="0" applyBorder="0" applyAlignment="0" applyProtection="0"/>
  </cellStyleXfs>
  <cellXfs count="89">
    <xf numFmtId="0" fontId="0" fillId="0" borderId="0" xfId="0"/>
    <xf numFmtId="0" fontId="0" fillId="2" borderId="0" xfId="0" applyFill="1"/>
    <xf numFmtId="0" fontId="1" fillId="2" borderId="0" xfId="0" applyFont="1" applyFill="1"/>
    <xf numFmtId="43" fontId="0" fillId="0" borderId="0" xfId="1" applyFont="1"/>
    <xf numFmtId="10" fontId="0" fillId="0" borderId="0" xfId="2" applyNumberFormat="1" applyFont="1"/>
    <xf numFmtId="0" fontId="1" fillId="2" borderId="0" xfId="0" applyFont="1" applyFill="1" applyAlignment="1">
      <alignment horizontal="center"/>
    </xf>
    <xf numFmtId="44" fontId="0" fillId="0" borderId="0" xfId="4" applyFont="1"/>
    <xf numFmtId="43" fontId="0" fillId="2" borderId="0" xfId="1" applyFont="1" applyFill="1" applyAlignment="1">
      <alignment horizontal="center"/>
    </xf>
    <xf numFmtId="9" fontId="0" fillId="2" borderId="0" xfId="1" applyNumberFormat="1" applyFont="1" applyFill="1"/>
    <xf numFmtId="0" fontId="0" fillId="4" borderId="0" xfId="0" applyFill="1"/>
    <xf numFmtId="0" fontId="1" fillId="4" borderId="0" xfId="0" applyFont="1" applyFill="1"/>
    <xf numFmtId="0" fontId="1" fillId="4" borderId="0" xfId="0" applyFont="1" applyFill="1" applyAlignment="1">
      <alignment horizontal="center"/>
    </xf>
    <xf numFmtId="0" fontId="0" fillId="3" borderId="6" xfId="0" applyFill="1" applyBorder="1"/>
    <xf numFmtId="0" fontId="0" fillId="3" borderId="7" xfId="0" applyFill="1" applyBorder="1"/>
    <xf numFmtId="0" fontId="0" fillId="3" borderId="11" xfId="0" applyFill="1" applyBorder="1"/>
    <xf numFmtId="0" fontId="0" fillId="3" borderId="12" xfId="0" applyFill="1" applyBorder="1"/>
    <xf numFmtId="0" fontId="0" fillId="3" borderId="5" xfId="0" applyFill="1" applyBorder="1"/>
    <xf numFmtId="0" fontId="5" fillId="3" borderId="8" xfId="0" applyFont="1" applyFill="1" applyBorder="1"/>
    <xf numFmtId="0" fontId="6" fillId="3" borderId="0" xfId="0" applyFont="1" applyFill="1"/>
    <xf numFmtId="0" fontId="6" fillId="3" borderId="9" xfId="0" applyFont="1" applyFill="1" applyBorder="1"/>
    <xf numFmtId="0" fontId="0" fillId="3" borderId="10" xfId="0" applyFill="1" applyBorder="1"/>
    <xf numFmtId="0" fontId="7" fillId="3" borderId="6" xfId="0" applyFont="1" applyFill="1" applyBorder="1"/>
    <xf numFmtId="0" fontId="7" fillId="3" borderId="7" xfId="0" applyFont="1" applyFill="1" applyBorder="1"/>
    <xf numFmtId="0" fontId="7" fillId="3" borderId="11" xfId="0" applyFont="1" applyFill="1" applyBorder="1" applyAlignment="1">
      <alignment vertical="top"/>
    </xf>
    <xf numFmtId="0" fontId="7" fillId="3" borderId="12" xfId="0" applyFont="1" applyFill="1" applyBorder="1" applyAlignment="1">
      <alignment vertical="top"/>
    </xf>
    <xf numFmtId="0" fontId="8" fillId="2" borderId="0" xfId="0" applyFont="1" applyFill="1"/>
    <xf numFmtId="0" fontId="8" fillId="2" borderId="0" xfId="0" applyFont="1" applyFill="1" applyAlignment="1">
      <alignment horizontal="center"/>
    </xf>
    <xf numFmtId="0" fontId="9" fillId="2" borderId="0" xfId="0" applyFont="1" applyFill="1"/>
    <xf numFmtId="164" fontId="9" fillId="2" borderId="0" xfId="0" applyNumberFormat="1" applyFont="1" applyFill="1"/>
    <xf numFmtId="0" fontId="8"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0" xfId="0" applyFont="1" applyFill="1" applyAlignment="1">
      <alignment vertical="center"/>
    </xf>
    <xf numFmtId="1" fontId="9" fillId="2" borderId="0" xfId="0" applyNumberFormat="1" applyFont="1" applyFill="1" applyAlignment="1">
      <alignment horizontal="center"/>
    </xf>
    <xf numFmtId="0" fontId="9" fillId="2" borderId="0" xfId="0" applyFont="1" applyFill="1" applyAlignment="1">
      <alignment horizontal="center"/>
    </xf>
    <xf numFmtId="168" fontId="9" fillId="2" borderId="0" xfId="4" applyNumberFormat="1" applyFont="1" applyFill="1" applyAlignment="1">
      <alignment horizontal="center"/>
    </xf>
    <xf numFmtId="168" fontId="9" fillId="2" borderId="0" xfId="0" applyNumberFormat="1" applyFont="1" applyFill="1"/>
    <xf numFmtId="0" fontId="8" fillId="3" borderId="5" xfId="0" applyFont="1" applyFill="1" applyBorder="1"/>
    <xf numFmtId="0" fontId="9" fillId="3" borderId="6" xfId="0" applyFont="1" applyFill="1" applyBorder="1"/>
    <xf numFmtId="0" fontId="9" fillId="3" borderId="7" xfId="0" applyFont="1" applyFill="1" applyBorder="1"/>
    <xf numFmtId="0" fontId="9" fillId="3" borderId="8" xfId="0" applyFont="1" applyFill="1" applyBorder="1"/>
    <xf numFmtId="0" fontId="9" fillId="3" borderId="0" xfId="0" applyFont="1" applyFill="1"/>
    <xf numFmtId="0" fontId="9" fillId="3" borderId="9" xfId="0" applyFont="1" applyFill="1" applyBorder="1"/>
    <xf numFmtId="0" fontId="8" fillId="3" borderId="8" xfId="0" applyFont="1" applyFill="1" applyBorder="1" applyAlignment="1">
      <alignment vertical="center"/>
    </xf>
    <xf numFmtId="0" fontId="8" fillId="3" borderId="0" xfId="0" applyFont="1" applyFill="1" applyAlignment="1">
      <alignment vertical="center"/>
    </xf>
    <xf numFmtId="168" fontId="8" fillId="3" borderId="1" xfId="4" applyNumberFormat="1" applyFont="1" applyFill="1" applyBorder="1" applyAlignment="1">
      <alignment horizontal="center" vertical="center"/>
    </xf>
    <xf numFmtId="168" fontId="9" fillId="3" borderId="0" xfId="4" applyNumberFormat="1" applyFont="1" applyFill="1" applyBorder="1" applyAlignment="1">
      <alignment horizontal="center"/>
    </xf>
    <xf numFmtId="168" fontId="9" fillId="3" borderId="9" xfId="4" applyNumberFormat="1" applyFont="1" applyFill="1" applyBorder="1" applyAlignment="1">
      <alignment horizontal="center"/>
    </xf>
    <xf numFmtId="0" fontId="9" fillId="3" borderId="10" xfId="0" applyFont="1" applyFill="1" applyBorder="1" applyAlignment="1">
      <alignment vertical="top"/>
    </xf>
    <xf numFmtId="0" fontId="9" fillId="3" borderId="11" xfId="0" applyFont="1" applyFill="1" applyBorder="1"/>
    <xf numFmtId="0" fontId="9" fillId="3" borderId="12" xfId="0" applyFont="1" applyFill="1" applyBorder="1"/>
    <xf numFmtId="168" fontId="9" fillId="6" borderId="1" xfId="4" applyNumberFormat="1" applyFont="1" applyFill="1" applyBorder="1" applyAlignment="1">
      <alignment horizontal="center"/>
    </xf>
    <xf numFmtId="0" fontId="8" fillId="6" borderId="1" xfId="0" applyFont="1" applyFill="1" applyBorder="1" applyAlignment="1">
      <alignment horizontal="center" vertical="center"/>
    </xf>
    <xf numFmtId="1" fontId="8" fillId="6" borderId="1" xfId="2" applyNumberFormat="1" applyFont="1" applyFill="1" applyBorder="1" applyAlignment="1">
      <alignment horizontal="center"/>
    </xf>
    <xf numFmtId="44" fontId="9" fillId="6" borderId="1" xfId="4" applyFont="1" applyFill="1" applyBorder="1" applyAlignment="1">
      <alignment horizontal="center"/>
    </xf>
    <xf numFmtId="169" fontId="9" fillId="6" borderId="1" xfId="4" applyNumberFormat="1" applyFont="1" applyFill="1" applyBorder="1" applyAlignment="1">
      <alignment horizontal="center"/>
    </xf>
    <xf numFmtId="0" fontId="10" fillId="3" borderId="5" xfId="0" applyFont="1" applyFill="1" applyBorder="1"/>
    <xf numFmtId="0" fontId="10" fillId="3" borderId="10" xfId="0" applyFont="1" applyFill="1" applyBorder="1" applyAlignment="1">
      <alignment vertical="top"/>
    </xf>
    <xf numFmtId="0" fontId="11" fillId="5" borderId="3" xfId="0" applyFont="1" applyFill="1" applyBorder="1" applyAlignment="1">
      <alignment horizontal="center" vertical="center"/>
    </xf>
    <xf numFmtId="0" fontId="12" fillId="5" borderId="3" xfId="0" applyFont="1" applyFill="1" applyBorder="1"/>
    <xf numFmtId="14" fontId="13" fillId="5" borderId="3" xfId="0" applyNumberFormat="1" applyFont="1" applyFill="1" applyBorder="1"/>
    <xf numFmtId="0" fontId="11" fillId="5" borderId="2" xfId="0" applyFont="1" applyFill="1" applyBorder="1" applyAlignment="1">
      <alignment horizontal="left" vertical="center"/>
    </xf>
    <xf numFmtId="14" fontId="11" fillId="5" borderId="4" xfId="0" applyNumberFormat="1" applyFont="1" applyFill="1" applyBorder="1" applyAlignment="1">
      <alignment horizontal="center" vertical="center"/>
    </xf>
    <xf numFmtId="0" fontId="8" fillId="7" borderId="1" xfId="0" applyFont="1" applyFill="1" applyBorder="1" applyAlignment="1">
      <alignment horizontal="center" vertical="center"/>
    </xf>
    <xf numFmtId="1" fontId="8" fillId="7" borderId="1" xfId="2" applyNumberFormat="1" applyFont="1" applyFill="1" applyBorder="1" applyAlignment="1">
      <alignment horizontal="center"/>
    </xf>
    <xf numFmtId="168" fontId="9" fillId="7" borderId="1" xfId="4" applyNumberFormat="1" applyFont="1" applyFill="1" applyBorder="1" applyAlignment="1">
      <alignment horizontal="center"/>
    </xf>
    <xf numFmtId="44" fontId="9" fillId="7" borderId="1" xfId="4" applyFont="1" applyFill="1" applyBorder="1" applyAlignment="1">
      <alignment horizontal="center"/>
    </xf>
    <xf numFmtId="170" fontId="9" fillId="7" borderId="1" xfId="4" applyNumberFormat="1" applyFont="1" applyFill="1" applyBorder="1" applyAlignment="1">
      <alignment horizontal="center"/>
    </xf>
    <xf numFmtId="171" fontId="9" fillId="7" borderId="1" xfId="4" applyNumberFormat="1" applyFont="1" applyFill="1" applyBorder="1" applyAlignment="1">
      <alignment horizontal="center"/>
    </xf>
    <xf numFmtId="165" fontId="9" fillId="3" borderId="1" xfId="1" applyNumberFormat="1" applyFont="1" applyFill="1" applyBorder="1" applyProtection="1">
      <protection locked="0"/>
    </xf>
    <xf numFmtId="1" fontId="9" fillId="3" borderId="1" xfId="2" applyNumberFormat="1" applyFont="1" applyFill="1" applyBorder="1" applyProtection="1">
      <protection locked="0"/>
    </xf>
    <xf numFmtId="167" fontId="9" fillId="3" borderId="1" xfId="1" applyNumberFormat="1" applyFont="1" applyFill="1" applyBorder="1" applyProtection="1">
      <protection locked="0"/>
    </xf>
    <xf numFmtId="164" fontId="9" fillId="3" borderId="1" xfId="1" applyNumberFormat="1" applyFont="1" applyFill="1" applyBorder="1" applyProtection="1">
      <protection locked="0"/>
    </xf>
    <xf numFmtId="10" fontId="9" fillId="3" borderId="1" xfId="2" applyNumberFormat="1" applyFont="1" applyFill="1" applyBorder="1" applyProtection="1">
      <protection locked="0"/>
    </xf>
    <xf numFmtId="10" fontId="9" fillId="3" borderId="1" xfId="2" applyNumberFormat="1" applyFont="1" applyFill="1" applyBorder="1" applyAlignment="1" applyProtection="1">
      <alignment horizontal="center"/>
      <protection locked="0"/>
    </xf>
    <xf numFmtId="166" fontId="9" fillId="6" borderId="1" xfId="0" applyNumberFormat="1" applyFont="1" applyFill="1" applyBorder="1" applyAlignment="1">
      <alignment horizontal="center"/>
    </xf>
    <xf numFmtId="166" fontId="9" fillId="7" borderId="1" xfId="0" applyNumberFormat="1" applyFont="1" applyFill="1" applyBorder="1" applyAlignment="1">
      <alignment horizontal="center"/>
    </xf>
    <xf numFmtId="166" fontId="9" fillId="7" borderId="1" xfId="2" applyNumberFormat="1" applyFont="1" applyFill="1" applyBorder="1" applyAlignment="1">
      <alignment horizontal="center"/>
    </xf>
    <xf numFmtId="9" fontId="9" fillId="3" borderId="1" xfId="2" applyFont="1" applyFill="1" applyBorder="1" applyProtection="1">
      <protection locked="0"/>
    </xf>
    <xf numFmtId="0" fontId="9" fillId="2" borderId="0" xfId="0" applyFont="1" applyFill="1" applyAlignment="1">
      <alignment vertical="top" wrapText="1" readingOrder="1"/>
    </xf>
    <xf numFmtId="10" fontId="9" fillId="3" borderId="1" xfId="2" applyNumberFormat="1" applyFont="1" applyFill="1" applyBorder="1" applyAlignment="1" applyProtection="1">
      <alignment horizontal="center" vertical="center"/>
      <protection locked="0"/>
    </xf>
    <xf numFmtId="3" fontId="9" fillId="3" borderId="1" xfId="0" applyNumberFormat="1" applyFont="1" applyFill="1" applyBorder="1"/>
    <xf numFmtId="166" fontId="9" fillId="3" borderId="1" xfId="0" applyNumberFormat="1" applyFont="1" applyFill="1" applyBorder="1"/>
    <xf numFmtId="9" fontId="9" fillId="3" borderId="1" xfId="2" applyFont="1" applyFill="1" applyBorder="1" applyProtection="1"/>
    <xf numFmtId="0" fontId="0" fillId="0" borderId="0" xfId="0" applyAlignment="1">
      <alignment horizontal="center"/>
    </xf>
    <xf numFmtId="0" fontId="15" fillId="0" borderId="0" xfId="0" applyFont="1" applyAlignment="1">
      <alignment horizontal="center"/>
    </xf>
    <xf numFmtId="44" fontId="14" fillId="0" borderId="0" xfId="4" applyFont="1"/>
    <xf numFmtId="44" fontId="16" fillId="0" borderId="0" xfId="4" applyFont="1"/>
    <xf numFmtId="44" fontId="14" fillId="0" borderId="0" xfId="4" applyFont="1" applyFill="1"/>
  </cellXfs>
  <cellStyles count="5">
    <cellStyle name="Comma" xfId="1" builtinId="3"/>
    <cellStyle name="Currency" xfId="4" builtinId="4"/>
    <cellStyle name="Normal" xfId="0" builtinId="0"/>
    <cellStyle name="Percent" xfId="2" builtinId="5"/>
    <cellStyle name="Standaard 2" xfId="3" xr:uid="{9D210501-DD1F-457A-AA0C-5E56E2B05FDA}"/>
  </cellStyles>
  <dxfs count="0"/>
  <tableStyles count="1" defaultTableStyle="TableStyleMedium2" defaultPivotStyle="PivotStyleLight16">
    <tableStyle name="Invisible" pivot="0" table="0" count="0" xr9:uid="{CF831A30-8B5F-4767-BC88-2495ECF3CCF0}"/>
  </tableStyles>
  <colors>
    <mruColors>
      <color rgb="FFED40A9"/>
      <color rgb="FF9BD6F4"/>
      <color rgb="FF9BBC9C"/>
      <color rgb="FFEF43B6"/>
      <color rgb="FFF04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79552</xdr:colOff>
      <xdr:row>43</xdr:row>
      <xdr:rowOff>4189</xdr:rowOff>
    </xdr:from>
    <xdr:to>
      <xdr:col>6</xdr:col>
      <xdr:colOff>803869</xdr:colOff>
      <xdr:row>45</xdr:row>
      <xdr:rowOff>41872</xdr:rowOff>
    </xdr:to>
    <xdr:sp macro="" textlink="">
      <xdr:nvSpPr>
        <xdr:cNvPr id="2" name="Pijl: gebogen omhoog 1">
          <a:extLst>
            <a:ext uri="{FF2B5EF4-FFF2-40B4-BE49-F238E27FC236}">
              <a16:creationId xmlns:a16="http://schemas.microsoft.com/office/drawing/2014/main" id="{F1DA2CC7-E772-4E63-C6D7-85EA62BB2315}"/>
            </a:ext>
          </a:extLst>
        </xdr:cNvPr>
        <xdr:cNvSpPr/>
      </xdr:nvSpPr>
      <xdr:spPr>
        <a:xfrm rot="5400000" flipV="1">
          <a:off x="8775561" y="6858004"/>
          <a:ext cx="514979" cy="1477944"/>
        </a:xfrm>
        <a:prstGeom prst="bentUpArrow">
          <a:avLst/>
        </a:prstGeom>
        <a:solidFill>
          <a:srgbClr val="ED40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1172309</xdr:colOff>
      <xdr:row>2</xdr:row>
      <xdr:rowOff>159101</xdr:rowOff>
    </xdr:from>
    <xdr:to>
      <xdr:col>6</xdr:col>
      <xdr:colOff>1505223</xdr:colOff>
      <xdr:row>12</xdr:row>
      <xdr:rowOff>167641</xdr:rowOff>
    </xdr:to>
    <xdr:pic>
      <xdr:nvPicPr>
        <xdr:cNvPr id="3" name="Afbeelding 2" descr="Afbeelding met Graphics, tekst, cirkel, Lettertype&#10;&#10;Automatisch gegenereerde beschrijving">
          <a:extLst>
            <a:ext uri="{FF2B5EF4-FFF2-40B4-BE49-F238E27FC236}">
              <a16:creationId xmlns:a16="http://schemas.microsoft.com/office/drawing/2014/main" id="{56A5505F-0558-29A7-D268-D5872188C6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7029" y="867761"/>
          <a:ext cx="1915969" cy="1829720"/>
        </a:xfrm>
        <a:prstGeom prst="rect">
          <a:avLst/>
        </a:prstGeom>
      </xdr:spPr>
    </xdr:pic>
    <xdr:clientData/>
  </xdr:twoCellAnchor>
  <xdr:twoCellAnchor editAs="oneCell">
    <xdr:from>
      <xdr:col>1</xdr:col>
      <xdr:colOff>2346521</xdr:colOff>
      <xdr:row>66</xdr:row>
      <xdr:rowOff>116262</xdr:rowOff>
    </xdr:from>
    <xdr:to>
      <xdr:col>2</xdr:col>
      <xdr:colOff>213130</xdr:colOff>
      <xdr:row>66</xdr:row>
      <xdr:rowOff>1068984</xdr:rowOff>
    </xdr:to>
    <xdr:pic>
      <xdr:nvPicPr>
        <xdr:cNvPr id="4" name="Afbeelding 3">
          <a:extLst>
            <a:ext uri="{FF2B5EF4-FFF2-40B4-BE49-F238E27FC236}">
              <a16:creationId xmlns:a16="http://schemas.microsoft.com/office/drawing/2014/main" id="{14701264-BEFF-45D5-ADA8-7F9BAFC4344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73" b="24577"/>
        <a:stretch/>
      </xdr:blipFill>
      <xdr:spPr bwMode="auto">
        <a:xfrm>
          <a:off x="2670371" y="13089312"/>
          <a:ext cx="2072849" cy="952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295143</xdr:colOff>
      <xdr:row>66</xdr:row>
      <xdr:rowOff>114300</xdr:rowOff>
    </xdr:from>
    <xdr:to>
      <xdr:col>1</xdr:col>
      <xdr:colOff>2078709</xdr:colOff>
      <xdr:row>66</xdr:row>
      <xdr:rowOff>952427</xdr:rowOff>
    </xdr:to>
    <xdr:pic>
      <xdr:nvPicPr>
        <xdr:cNvPr id="5" name="Afbeelding 4">
          <a:extLst>
            <a:ext uri="{FF2B5EF4-FFF2-40B4-BE49-F238E27FC236}">
              <a16:creationId xmlns:a16="http://schemas.microsoft.com/office/drawing/2014/main" id="{C6E90009-1ABB-4DDB-9115-4664D36C55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8993" y="13087350"/>
          <a:ext cx="1791186" cy="838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56ED-1F65-4D0E-BAB2-01D9E092DDF0}">
  <sheetPr codeName="Blad2">
    <pageSetUpPr fitToPage="1"/>
  </sheetPr>
  <dimension ref="B2:I69"/>
  <sheetViews>
    <sheetView tabSelected="1" zoomScaleNormal="100" workbookViewId="0">
      <selection activeCell="C2" sqref="C2"/>
    </sheetView>
  </sheetViews>
  <sheetFormatPr defaultColWidth="8.77734375" defaultRowHeight="14.4" x14ac:dyDescent="0.3"/>
  <cols>
    <col min="1" max="1" width="4.77734375" style="1" customWidth="1"/>
    <col min="2" max="2" width="61.44140625" style="1" customWidth="1"/>
    <col min="3" max="3" width="21" style="1" customWidth="1"/>
    <col min="4" max="4" width="19" style="1" customWidth="1"/>
    <col min="5" max="5" width="17.109375" style="1" customWidth="1"/>
    <col min="6" max="6" width="6.109375" style="1" customWidth="1"/>
    <col min="7" max="7" width="23" style="1" customWidth="1"/>
    <col min="8" max="8" width="10.77734375" style="1" customWidth="1"/>
    <col min="9" max="16384" width="8.77734375" style="1"/>
  </cols>
  <sheetData>
    <row r="2" spans="2:7" ht="41.55" customHeight="1" x14ac:dyDescent="0.35">
      <c r="B2" s="61"/>
      <c r="C2" s="58" t="s">
        <v>88</v>
      </c>
      <c r="D2" s="59"/>
      <c r="E2" s="60"/>
      <c r="F2" s="60"/>
      <c r="G2" s="62"/>
    </row>
    <row r="4" spans="2:7" x14ac:dyDescent="0.3">
      <c r="B4" s="25" t="s">
        <v>16</v>
      </c>
      <c r="C4" s="26" t="s">
        <v>13</v>
      </c>
      <c r="D4" s="27"/>
      <c r="E4" s="27"/>
      <c r="F4" s="27"/>
      <c r="G4" s="27"/>
    </row>
    <row r="5" spans="2:7" x14ac:dyDescent="0.3">
      <c r="B5" s="27" t="s">
        <v>65</v>
      </c>
      <c r="C5" s="69">
        <v>38</v>
      </c>
      <c r="D5" s="27" t="s">
        <v>80</v>
      </c>
      <c r="E5" s="27"/>
      <c r="F5" s="27"/>
      <c r="G5" s="27"/>
    </row>
    <row r="6" spans="2:7" x14ac:dyDescent="0.3">
      <c r="B6" s="27" t="s">
        <v>83</v>
      </c>
      <c r="C6" s="74" t="s">
        <v>48</v>
      </c>
      <c r="E6" s="27"/>
      <c r="F6" s="27"/>
      <c r="G6" s="27"/>
    </row>
    <row r="7" spans="2:7" x14ac:dyDescent="0.3">
      <c r="B7" s="27" t="s">
        <v>57</v>
      </c>
      <c r="C7" s="81">
        <f>+C5*5</f>
        <v>190</v>
      </c>
      <c r="D7" s="27" t="s">
        <v>79</v>
      </c>
      <c r="E7" s="27"/>
      <c r="F7" s="27"/>
      <c r="G7" s="27"/>
    </row>
    <row r="8" spans="2:7" x14ac:dyDescent="0.3">
      <c r="B8" s="27" t="s">
        <v>66</v>
      </c>
      <c r="C8" s="82">
        <f>+C5*1.2</f>
        <v>45.6</v>
      </c>
      <c r="D8" s="27" t="s">
        <v>79</v>
      </c>
      <c r="E8" s="27"/>
      <c r="F8" s="27"/>
      <c r="G8" s="27"/>
    </row>
    <row r="9" spans="2:7" x14ac:dyDescent="0.3">
      <c r="B9" s="27" t="s">
        <v>58</v>
      </c>
      <c r="C9" s="82">
        <f>IF(C6="Ja",C5/5,0)</f>
        <v>0</v>
      </c>
      <c r="D9" s="27" t="s">
        <v>79</v>
      </c>
      <c r="E9" s="27"/>
      <c r="F9" s="27"/>
      <c r="G9" s="27"/>
    </row>
    <row r="10" spans="2:7" x14ac:dyDescent="0.3">
      <c r="B10" s="27"/>
      <c r="C10" s="27"/>
      <c r="D10" s="27"/>
      <c r="E10" s="27"/>
      <c r="F10" s="27"/>
      <c r="G10" s="27"/>
    </row>
    <row r="11" spans="2:7" x14ac:dyDescent="0.3">
      <c r="B11" s="25" t="s">
        <v>17</v>
      </c>
      <c r="C11" s="27"/>
      <c r="D11" s="27"/>
      <c r="E11" s="27"/>
      <c r="F11" s="27"/>
      <c r="G11" s="27"/>
    </row>
    <row r="12" spans="2:7" x14ac:dyDescent="0.3">
      <c r="B12" s="27" t="s">
        <v>18</v>
      </c>
      <c r="C12" s="70">
        <v>60</v>
      </c>
      <c r="D12" s="27" t="s">
        <v>78</v>
      </c>
      <c r="E12" s="27"/>
      <c r="F12" s="27"/>
      <c r="G12" s="27"/>
    </row>
    <row r="13" spans="2:7" x14ac:dyDescent="0.3">
      <c r="B13" s="27" t="s">
        <v>5</v>
      </c>
      <c r="C13" s="71">
        <v>0.2</v>
      </c>
      <c r="D13" s="27" t="s">
        <v>77</v>
      </c>
      <c r="E13" s="27"/>
      <c r="F13" s="27"/>
      <c r="G13" s="27"/>
    </row>
    <row r="14" spans="2:7" x14ac:dyDescent="0.3">
      <c r="B14" s="27" t="s">
        <v>14</v>
      </c>
      <c r="C14" s="72">
        <v>40000</v>
      </c>
      <c r="D14" s="27"/>
      <c r="E14" s="27"/>
      <c r="F14" s="27"/>
      <c r="G14" s="27"/>
    </row>
    <row r="15" spans="2:7" x14ac:dyDescent="0.3">
      <c r="B15" s="27" t="s">
        <v>4</v>
      </c>
      <c r="C15" s="72">
        <v>36000</v>
      </c>
      <c r="D15" s="27" t="s">
        <v>73</v>
      </c>
      <c r="E15" s="27"/>
      <c r="F15" s="27"/>
      <c r="G15" s="27"/>
    </row>
    <row r="16" spans="2:7" x14ac:dyDescent="0.3">
      <c r="B16" s="27"/>
      <c r="C16" s="27"/>
      <c r="D16" s="27"/>
      <c r="E16" s="27"/>
      <c r="F16" s="27"/>
      <c r="G16" s="27"/>
    </row>
    <row r="17" spans="2:7" x14ac:dyDescent="0.3">
      <c r="B17" s="25" t="s">
        <v>69</v>
      </c>
      <c r="C17" s="27"/>
      <c r="D17" s="27"/>
      <c r="E17" s="27"/>
      <c r="F17" s="27"/>
      <c r="G17" s="27"/>
    </row>
    <row r="18" spans="2:7" x14ac:dyDescent="0.3">
      <c r="B18" s="27" t="s">
        <v>3</v>
      </c>
      <c r="C18" s="72">
        <v>17896</v>
      </c>
      <c r="D18" s="27" t="s">
        <v>15</v>
      </c>
      <c r="E18" s="27"/>
      <c r="F18" s="27"/>
      <c r="G18" s="27"/>
    </row>
    <row r="19" spans="2:7" x14ac:dyDescent="0.3">
      <c r="B19" s="27" t="s">
        <v>8</v>
      </c>
      <c r="C19" s="73">
        <v>8.7999999999999995E-2</v>
      </c>
      <c r="D19" s="27" t="s">
        <v>15</v>
      </c>
      <c r="E19" s="28"/>
      <c r="F19" s="27"/>
      <c r="G19" s="27"/>
    </row>
    <row r="20" spans="2:7" x14ac:dyDescent="0.3">
      <c r="B20" s="27" t="s">
        <v>9</v>
      </c>
      <c r="C20" s="73">
        <v>0.17599999999999999</v>
      </c>
      <c r="D20" s="27" t="s">
        <v>15</v>
      </c>
      <c r="E20" s="28"/>
      <c r="F20" s="27"/>
      <c r="G20" s="27"/>
    </row>
    <row r="21" spans="2:7" x14ac:dyDescent="0.3">
      <c r="B21" s="27" t="s">
        <v>10</v>
      </c>
      <c r="C21" s="73">
        <v>0.2</v>
      </c>
      <c r="D21" s="27" t="s">
        <v>44</v>
      </c>
      <c r="E21" s="28"/>
      <c r="F21" s="27"/>
      <c r="G21" s="27"/>
    </row>
    <row r="22" spans="2:7" x14ac:dyDescent="0.3">
      <c r="B22" s="27"/>
      <c r="C22" s="28"/>
      <c r="D22" s="28"/>
      <c r="E22" s="28"/>
      <c r="F22" s="27"/>
      <c r="G22" s="27"/>
    </row>
    <row r="23" spans="2:7" x14ac:dyDescent="0.3">
      <c r="B23" s="25" t="s">
        <v>40</v>
      </c>
      <c r="C23" s="27"/>
      <c r="D23" s="27"/>
      <c r="E23" s="27"/>
      <c r="F23" s="27"/>
      <c r="G23" s="27"/>
    </row>
    <row r="24" spans="2:7" x14ac:dyDescent="0.3">
      <c r="B24" s="27" t="s">
        <v>34</v>
      </c>
      <c r="C24" s="78">
        <v>0.8</v>
      </c>
      <c r="D24" s="27" t="s">
        <v>87</v>
      </c>
      <c r="E24" s="27"/>
      <c r="F24" s="27"/>
      <c r="G24" s="27"/>
    </row>
    <row r="25" spans="2:7" x14ac:dyDescent="0.3">
      <c r="B25" s="27" t="s">
        <v>41</v>
      </c>
      <c r="C25" s="78">
        <v>0.89999999999999991</v>
      </c>
      <c r="D25" s="27" t="s">
        <v>86</v>
      </c>
      <c r="E25" s="27"/>
      <c r="F25" s="27"/>
      <c r="G25" s="27"/>
    </row>
    <row r="26" spans="2:7" x14ac:dyDescent="0.3">
      <c r="B26" s="27" t="s">
        <v>2</v>
      </c>
      <c r="C26" s="83">
        <v>1</v>
      </c>
      <c r="D26" s="27" t="s">
        <v>50</v>
      </c>
      <c r="E26" s="27"/>
      <c r="F26" s="27"/>
      <c r="G26" s="27"/>
    </row>
    <row r="27" spans="2:7" ht="28.2" customHeight="1" x14ac:dyDescent="0.3">
      <c r="B27" s="79" t="s">
        <v>76</v>
      </c>
      <c r="C27" s="80" t="s">
        <v>46</v>
      </c>
      <c r="D27" s="27"/>
      <c r="E27" s="27"/>
      <c r="F27" s="27"/>
      <c r="G27" s="27"/>
    </row>
    <row r="28" spans="2:7" x14ac:dyDescent="0.3">
      <c r="B28" s="27"/>
      <c r="C28" s="27"/>
      <c r="D28" s="27"/>
      <c r="E28" s="27"/>
      <c r="F28" s="27"/>
      <c r="G28" s="27"/>
    </row>
    <row r="29" spans="2:7" ht="29.55" customHeight="1" x14ac:dyDescent="0.3">
      <c r="B29" s="29" t="s">
        <v>68</v>
      </c>
      <c r="C29" s="30"/>
      <c r="D29" s="30"/>
      <c r="E29" s="30"/>
      <c r="F29" s="30"/>
      <c r="G29" s="31"/>
    </row>
    <row r="30" spans="2:7" ht="12" customHeight="1" x14ac:dyDescent="0.3">
      <c r="B30" s="25"/>
      <c r="C30" s="27"/>
      <c r="D30" s="27"/>
      <c r="E30" s="27"/>
      <c r="F30" s="27"/>
      <c r="G30" s="27"/>
    </row>
    <row r="31" spans="2:7" x14ac:dyDescent="0.3">
      <c r="B31" s="27"/>
      <c r="C31" s="63" t="s">
        <v>19</v>
      </c>
      <c r="D31" s="63" t="s">
        <v>6</v>
      </c>
      <c r="E31" s="63" t="s">
        <v>7</v>
      </c>
      <c r="F31" s="32"/>
      <c r="G31" s="52" t="s">
        <v>20</v>
      </c>
    </row>
    <row r="32" spans="2:7" x14ac:dyDescent="0.3">
      <c r="B32" s="27"/>
      <c r="C32" s="27"/>
      <c r="D32" s="27"/>
      <c r="E32" s="27"/>
      <c r="F32" s="27"/>
      <c r="G32" s="27"/>
    </row>
    <row r="33" spans="2:9" x14ac:dyDescent="0.3">
      <c r="B33" s="25" t="s">
        <v>56</v>
      </c>
      <c r="C33" s="64">
        <f>C24*100</f>
        <v>80</v>
      </c>
      <c r="D33" s="64">
        <f>C13*100</f>
        <v>20</v>
      </c>
      <c r="E33" s="64">
        <f>SUM(C33:D33)</f>
        <v>100</v>
      </c>
      <c r="F33" s="33"/>
      <c r="G33" s="53">
        <v>100</v>
      </c>
    </row>
    <row r="34" spans="2:9" x14ac:dyDescent="0.3">
      <c r="B34" s="27" t="s">
        <v>55</v>
      </c>
      <c r="C34" s="76">
        <f>+$C$5*52*C33/100</f>
        <v>1580.8</v>
      </c>
      <c r="D34" s="76">
        <f t="shared" ref="D34:G34" si="0">+$C$5*52*D33/100</f>
        <v>395.2</v>
      </c>
      <c r="E34" s="77">
        <f t="shared" ref="E34:E37" si="1">SUM(C34:D34)</f>
        <v>1976</v>
      </c>
      <c r="F34" s="33"/>
      <c r="G34" s="75">
        <f t="shared" si="0"/>
        <v>1976</v>
      </c>
    </row>
    <row r="35" spans="2:9" x14ac:dyDescent="0.3">
      <c r="B35" s="27" t="s">
        <v>70</v>
      </c>
      <c r="C35" s="76">
        <f>$G35*(C$33/100)</f>
        <v>-152</v>
      </c>
      <c r="D35" s="76">
        <f>$G35*(D$33/100)</f>
        <v>-38</v>
      </c>
      <c r="E35" s="77">
        <f t="shared" si="1"/>
        <v>-190</v>
      </c>
      <c r="F35" s="33"/>
      <c r="G35" s="75">
        <f>-C7</f>
        <v>-190</v>
      </c>
    </row>
    <row r="36" spans="2:9" x14ac:dyDescent="0.3">
      <c r="B36" s="27" t="s">
        <v>71</v>
      </c>
      <c r="C36" s="76">
        <f>IF(C27="Ja",G36)*C$33/100</f>
        <v>0</v>
      </c>
      <c r="D36" s="76">
        <f>$G36*(D$33/100)</f>
        <v>0</v>
      </c>
      <c r="E36" s="77">
        <f t="shared" ref="E36" si="2">SUM(C36:D36)</f>
        <v>0</v>
      </c>
      <c r="F36" s="33"/>
      <c r="G36" s="75">
        <f>-C9</f>
        <v>0</v>
      </c>
    </row>
    <row r="37" spans="2:9" x14ac:dyDescent="0.3">
      <c r="B37" s="27" t="s">
        <v>63</v>
      </c>
      <c r="C37" s="76">
        <f>IF(C27="Ja",G37)*C$33/100</f>
        <v>-36.479999999999997</v>
      </c>
      <c r="D37" s="76"/>
      <c r="E37" s="77">
        <f t="shared" si="1"/>
        <v>-36.479999999999997</v>
      </c>
      <c r="F37" s="33"/>
      <c r="G37" s="75">
        <f>-C8</f>
        <v>-45.6</v>
      </c>
    </row>
    <row r="38" spans="2:9" x14ac:dyDescent="0.3">
      <c r="B38" s="25" t="s">
        <v>54</v>
      </c>
      <c r="C38" s="76">
        <f>SUM(C34:C37)</f>
        <v>1392.32</v>
      </c>
      <c r="D38" s="76">
        <f t="shared" ref="D38:E38" si="3">SUM(D34:D37)</f>
        <v>357.2</v>
      </c>
      <c r="E38" s="76">
        <f t="shared" si="3"/>
        <v>1749.52</v>
      </c>
      <c r="F38" s="34"/>
      <c r="G38" s="75">
        <f>SUM(G34:G37)</f>
        <v>1740.4</v>
      </c>
    </row>
    <row r="39" spans="2:9" x14ac:dyDescent="0.3">
      <c r="B39" s="25"/>
      <c r="C39" s="26"/>
      <c r="D39" s="26"/>
      <c r="E39" s="26"/>
      <c r="F39" s="34"/>
      <c r="G39" s="26"/>
    </row>
    <row r="40" spans="2:9" x14ac:dyDescent="0.3">
      <c r="B40" s="25" t="s">
        <v>52</v>
      </c>
      <c r="C40" s="65">
        <f>C14*C25</f>
        <v>36000</v>
      </c>
      <c r="D40" s="65">
        <f>C15*D33/100</f>
        <v>7200</v>
      </c>
      <c r="E40" s="65">
        <f>+C40+D40</f>
        <v>43200</v>
      </c>
      <c r="F40" s="35"/>
      <c r="G40" s="51">
        <f>+$C$14</f>
        <v>40000</v>
      </c>
    </row>
    <row r="41" spans="2:9" x14ac:dyDescent="0.3">
      <c r="B41" s="25" t="s">
        <v>53</v>
      </c>
      <c r="C41" s="65">
        <f>+hulp!$C$10</f>
        <v>3890.3039999999996</v>
      </c>
      <c r="D41" s="65">
        <f>+hulp!$C$17*D33/100</f>
        <v>637.2607999999999</v>
      </c>
      <c r="E41" s="65">
        <f>+C41+D41</f>
        <v>4527.5647999999992</v>
      </c>
      <c r="F41" s="35"/>
      <c r="G41" s="51">
        <f>+hulp!$C$10</f>
        <v>3890.3039999999996</v>
      </c>
    </row>
    <row r="42" spans="2:9" x14ac:dyDescent="0.3">
      <c r="B42" s="25" t="s">
        <v>49</v>
      </c>
      <c r="C42" s="65">
        <f>hulp!F21</f>
        <v>6810.9696000000004</v>
      </c>
      <c r="D42" s="65">
        <f>hulp!F22</f>
        <v>1376.2739200000001</v>
      </c>
      <c r="E42" s="65">
        <f>+C42+D42</f>
        <v>8187.24352</v>
      </c>
      <c r="F42" s="35"/>
      <c r="G42" s="51">
        <f>+hulp!F20</f>
        <v>7610.9696000000004</v>
      </c>
    </row>
    <row r="43" spans="2:9" ht="23.55" customHeight="1" x14ac:dyDescent="0.3">
      <c r="B43" s="25" t="s">
        <v>11</v>
      </c>
      <c r="C43" s="65">
        <f>SUM(C40:C42)</f>
        <v>46701.2736</v>
      </c>
      <c r="D43" s="65">
        <f t="shared" ref="D43:E43" si="4">SUM(D40:D42)</f>
        <v>9213.5347199999997</v>
      </c>
      <c r="E43" s="65">
        <f t="shared" si="4"/>
        <v>55914.808319999996</v>
      </c>
      <c r="F43" s="35"/>
      <c r="G43" s="51">
        <f>SUM(G40:G42)</f>
        <v>51501.2736</v>
      </c>
    </row>
    <row r="44" spans="2:9" x14ac:dyDescent="0.3">
      <c r="B44" s="25"/>
      <c r="C44" s="25"/>
      <c r="D44" s="25"/>
      <c r="E44" s="25"/>
      <c r="F44" s="25"/>
      <c r="G44" s="25"/>
      <c r="H44" s="2"/>
      <c r="I44" s="2"/>
    </row>
    <row r="45" spans="2:9" x14ac:dyDescent="0.3">
      <c r="B45" s="25" t="s">
        <v>12</v>
      </c>
      <c r="C45" s="25"/>
      <c r="D45" s="25"/>
      <c r="E45" s="51">
        <f>+G43</f>
        <v>51501.2736</v>
      </c>
      <c r="F45" s="35"/>
      <c r="G45" s="36"/>
    </row>
    <row r="46" spans="2:9" x14ac:dyDescent="0.3">
      <c r="B46" s="25" t="s">
        <v>33</v>
      </c>
      <c r="C46" s="65">
        <f>+C43-E45</f>
        <v>-4800</v>
      </c>
      <c r="D46" s="65">
        <f>+D43</f>
        <v>9213.5347199999997</v>
      </c>
      <c r="E46" s="65">
        <f>ROUND(E43-E45,0)</f>
        <v>4414</v>
      </c>
      <c r="F46" s="35"/>
      <c r="G46" s="36"/>
    </row>
    <row r="47" spans="2:9" x14ac:dyDescent="0.3">
      <c r="B47" s="25" t="s">
        <v>42</v>
      </c>
      <c r="C47" s="25"/>
      <c r="D47" s="25"/>
      <c r="E47" s="76">
        <f>ROUND(E38-G38,0)</f>
        <v>9</v>
      </c>
      <c r="F47" s="27"/>
      <c r="G47" s="27"/>
    </row>
    <row r="48" spans="2:9" x14ac:dyDescent="0.3">
      <c r="B48" s="25" t="s">
        <v>43</v>
      </c>
      <c r="C48" s="66">
        <f>C43/C38</f>
        <v>33.542054700068952</v>
      </c>
      <c r="D48" s="66">
        <f>D43/D38</f>
        <v>25.793770212765956</v>
      </c>
      <c r="E48" s="66">
        <f>E43/E38</f>
        <v>31.960085234807259</v>
      </c>
      <c r="F48" s="35"/>
      <c r="G48" s="54">
        <f>G43/G38</f>
        <v>29.591630429786253</v>
      </c>
    </row>
    <row r="49" spans="2:7" x14ac:dyDescent="0.3">
      <c r="B49" s="25" t="s">
        <v>45</v>
      </c>
      <c r="C49" s="67">
        <f>(C48/$G$48)*100</f>
        <v>113.34980267361779</v>
      </c>
      <c r="D49" s="67">
        <f t="shared" ref="D49:E49" si="5">(D48/$G$48)*100</f>
        <v>87.165762204175607</v>
      </c>
      <c r="E49" s="67">
        <f t="shared" si="5"/>
        <v>108.00379962381854</v>
      </c>
      <c r="F49" s="35"/>
      <c r="G49" s="55">
        <v>100</v>
      </c>
    </row>
    <row r="50" spans="2:7" x14ac:dyDescent="0.3">
      <c r="B50" s="25" t="s">
        <v>51</v>
      </c>
      <c r="C50" s="68">
        <f t="shared" ref="C50:D50" si="6">ROUND(C49-100,1)</f>
        <v>13.3</v>
      </c>
      <c r="D50" s="68">
        <f t="shared" si="6"/>
        <v>-12.8</v>
      </c>
      <c r="E50" s="68">
        <f>ROUND(E49-100,1)</f>
        <v>8</v>
      </c>
      <c r="F50" s="27"/>
      <c r="G50" s="27"/>
    </row>
    <row r="51" spans="2:7" x14ac:dyDescent="0.3">
      <c r="B51" s="25"/>
      <c r="C51" s="27"/>
      <c r="D51" s="27"/>
      <c r="E51" s="27"/>
      <c r="F51" s="27"/>
      <c r="G51" s="27"/>
    </row>
    <row r="52" spans="2:7" x14ac:dyDescent="0.3">
      <c r="B52" s="37" t="s">
        <v>61</v>
      </c>
      <c r="C52" s="38"/>
      <c r="D52" s="38"/>
      <c r="E52" s="38"/>
      <c r="F52" s="38"/>
      <c r="G52" s="39"/>
    </row>
    <row r="53" spans="2:7" x14ac:dyDescent="0.3">
      <c r="B53" s="40" t="s">
        <v>72</v>
      </c>
      <c r="C53" s="41"/>
      <c r="D53" s="41"/>
      <c r="E53" s="41"/>
      <c r="F53" s="41"/>
      <c r="G53" s="42"/>
    </row>
    <row r="54" spans="2:7" x14ac:dyDescent="0.3">
      <c r="B54" s="40" t="s">
        <v>74</v>
      </c>
      <c r="C54" s="41"/>
      <c r="D54" s="41"/>
      <c r="E54" s="41"/>
      <c r="F54" s="41"/>
      <c r="G54" s="42"/>
    </row>
    <row r="55" spans="2:7" x14ac:dyDescent="0.3">
      <c r="B55" s="40" t="s">
        <v>82</v>
      </c>
      <c r="C55" s="41"/>
      <c r="D55" s="41"/>
      <c r="E55" s="41"/>
      <c r="F55" s="41"/>
      <c r="G55" s="42"/>
    </row>
    <row r="56" spans="2:7" x14ac:dyDescent="0.3">
      <c r="B56" s="40"/>
      <c r="C56" s="41"/>
      <c r="D56" s="41"/>
      <c r="E56" s="41"/>
      <c r="F56" s="41"/>
      <c r="G56" s="42"/>
    </row>
    <row r="57" spans="2:7" x14ac:dyDescent="0.3">
      <c r="B57" s="40" t="str">
        <f>IF(C27="Ja"," De deelnemer aan de GP regeling behoud zijn recht op de leeftijdsvakantie en evt. dag ploeg, naar rato van de nieuwe arbeidsduur.", " De deelnemer moet zijn leeftijdsvakantie en evt. dag ploeg inleveren zodra hij deelneemt aan de GP regeling.")</f>
        <v xml:space="preserve"> De deelnemer aan de GP regeling behoud zijn recht op de leeftijdsvakantie en evt. dag ploeg, naar rato van de nieuwe arbeidsduur.</v>
      </c>
      <c r="C57" s="41"/>
      <c r="D57" s="41"/>
      <c r="E57" s="41"/>
      <c r="F57" s="41"/>
      <c r="G57" s="42"/>
    </row>
    <row r="58" spans="2:7" ht="19.2" customHeight="1" x14ac:dyDescent="0.3">
      <c r="B58" s="43" t="s">
        <v>59</v>
      </c>
      <c r="C58" s="44"/>
      <c r="D58" s="44"/>
      <c r="E58" s="45">
        <f>+E46</f>
        <v>4414</v>
      </c>
      <c r="F58" s="46"/>
      <c r="G58" s="47"/>
    </row>
    <row r="59" spans="2:7" ht="19.2" customHeight="1" x14ac:dyDescent="0.3">
      <c r="B59" s="43" t="s">
        <v>60</v>
      </c>
      <c r="C59" s="44"/>
      <c r="D59" s="44"/>
      <c r="E59" s="45">
        <f>+E58*C12/12</f>
        <v>22070</v>
      </c>
      <c r="F59" s="46"/>
      <c r="G59" s="47"/>
    </row>
    <row r="60" spans="2:7" ht="19.2" customHeight="1" x14ac:dyDescent="0.3">
      <c r="B60" s="40" t="s">
        <v>75</v>
      </c>
      <c r="C60" s="44"/>
      <c r="D60" s="44"/>
      <c r="E60" s="46"/>
      <c r="F60" s="46"/>
      <c r="G60" s="47"/>
    </row>
    <row r="61" spans="2:7" x14ac:dyDescent="0.3">
      <c r="B61" s="40" t="str">
        <f>CONCATENATE(" De uurloonkosten van de deelnemer stijgen in deze combinatie met ",C50,"%.")</f>
        <v xml:space="preserve"> De uurloonkosten van de deelnemer stijgen in deze combinatie met 13,3%.</v>
      </c>
      <c r="C61" s="41"/>
      <c r="D61" s="41"/>
      <c r="E61" s="41"/>
      <c r="F61" s="41"/>
      <c r="G61" s="42"/>
    </row>
    <row r="62" spans="2:7" x14ac:dyDescent="0.3">
      <c r="B62" s="40" t="str">
        <f>CONCATENATE(" De uurloonkosten van de vervanger zijn daarentegen lager en wel ",D50*-1,"%.")</f>
        <v xml:space="preserve"> De uurloonkosten van de vervanger zijn daarentegen lager en wel 12,8%.</v>
      </c>
      <c r="C62" s="41"/>
      <c r="D62" s="41"/>
      <c r="E62" s="41"/>
      <c r="F62" s="41"/>
      <c r="G62" s="42"/>
    </row>
    <row r="63" spans="2:7" x14ac:dyDescent="0.3">
      <c r="B63" s="40" t="str">
        <f>CONCATENATE(" Voor het gehele scenario geldt dat de gewogen uurloonkosten van deelnemer en vervanger ",E50,"% stijgen.")</f>
        <v xml:space="preserve"> Voor het gehele scenario geldt dat de gewogen uurloonkosten van deelnemer en vervanger 8% stijgen.</v>
      </c>
      <c r="C63" s="41"/>
      <c r="D63" s="41"/>
      <c r="E63" s="41"/>
      <c r="F63" s="41"/>
      <c r="G63" s="42"/>
    </row>
    <row r="64" spans="2:7" ht="16.8" customHeight="1" x14ac:dyDescent="0.3">
      <c r="B64" s="48" t="str">
        <f>IF($C$27="Nee",CONCATENATE(" Omdat deelnemer en vervanger geen leeftijdsvakantie genieten, zijn er gemiddeld ",E47," uren per jaar extra beschikbaar (incl. effect inleveren dag ploeg)."),CONCATENATE(" Omdat de (jongere) vervanger geen recht op leeftijdsvakantie heeft en deelnemer naar rato, zijn er gemiddeld ",E47," uren per jaar extra beschikbaar."))</f>
        <v xml:space="preserve"> Omdat de (jongere) vervanger geen recht op leeftijdsvakantie heeft en deelnemer naar rato, zijn er gemiddeld 9 uren per jaar extra beschikbaar.</v>
      </c>
      <c r="C64" s="49"/>
      <c r="D64" s="49"/>
      <c r="E64" s="49"/>
      <c r="F64" s="49"/>
      <c r="G64" s="50"/>
    </row>
    <row r="65" spans="2:7" x14ac:dyDescent="0.3">
      <c r="B65" s="16"/>
      <c r="C65" s="12"/>
      <c r="D65" s="12"/>
      <c r="E65" s="12"/>
      <c r="F65" s="12"/>
      <c r="G65" s="13"/>
    </row>
    <row r="66" spans="2:7" x14ac:dyDescent="0.3">
      <c r="B66" s="17" t="s">
        <v>81</v>
      </c>
      <c r="C66" s="18"/>
      <c r="D66" s="18"/>
      <c r="E66" s="18"/>
      <c r="F66" s="18"/>
      <c r="G66" s="19"/>
    </row>
    <row r="67" spans="2:7" ht="91.95" customHeight="1" x14ac:dyDescent="0.3">
      <c r="B67" s="20"/>
      <c r="C67" s="14"/>
      <c r="D67" s="14"/>
      <c r="E67" s="14"/>
      <c r="F67" s="14"/>
      <c r="G67" s="15"/>
    </row>
    <row r="68" spans="2:7" x14ac:dyDescent="0.3">
      <c r="B68" s="56" t="s">
        <v>62</v>
      </c>
      <c r="C68" s="21"/>
      <c r="D68" s="21"/>
      <c r="E68" s="21"/>
      <c r="F68" s="21"/>
      <c r="G68" s="22"/>
    </row>
    <row r="69" spans="2:7" ht="16.2" customHeight="1" x14ac:dyDescent="0.3">
      <c r="B69" s="57" t="s">
        <v>64</v>
      </c>
      <c r="C69" s="23"/>
      <c r="D69" s="23"/>
      <c r="E69" s="23"/>
      <c r="F69" s="23"/>
      <c r="G69" s="24"/>
    </row>
  </sheetData>
  <sheetProtection algorithmName="SHA-512" hashValue="QXIpxszeamnWF+SAzgWbCLL+TdaMBq6Bbra+EFtyTcZKKR4kh/ZyvrTd2kbtkU4fpyWTrOd/c1DcQzFXSoHIPQ==" saltValue="U0h6kwE7bktt1+YNX18Z7g==" spinCount="100000" sheet="1" objects="1" scenarios="1"/>
  <pageMargins left="0.25" right="0.25"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D323B9D-D43B-405A-A597-525099FA79D7}">
          <x14:formula1>
            <xm:f>lijsten!$E$2:$E$61</xm:f>
          </x14:formula1>
          <xm:sqref>C12</xm:sqref>
        </x14:dataValidation>
        <x14:dataValidation type="list" allowBlank="1" showInputMessage="1" showErrorMessage="1" xr:uid="{2A22DD79-F952-4F63-80C8-27E81258E239}">
          <x14:formula1>
            <xm:f>lijsten!$C$21:$C$25</xm:f>
          </x14:formula1>
          <xm:sqref>C5</xm:sqref>
        </x14:dataValidation>
        <x14:dataValidation type="list" allowBlank="1" showInputMessage="1" showErrorMessage="1" xr:uid="{2673FED3-C799-42D0-9590-C9F34C0CFD06}">
          <x14:formula1>
            <xm:f>lijsten!$G$7:$G$8</xm:f>
          </x14:formula1>
          <xm:sqref>C6 C27</xm:sqref>
        </x14:dataValidation>
        <x14:dataValidation type="list" allowBlank="1" showInputMessage="1" showErrorMessage="1" xr:uid="{1024A9FE-CD9F-4956-9B7F-D33E495E0481}">
          <x14:formula1>
            <xm:f>lijsten!$A$2:$A$52</xm:f>
          </x14:formula1>
          <xm:sqref>C24</xm:sqref>
        </x14:dataValidation>
        <x14:dataValidation type="list" allowBlank="1" showInputMessage="1" showErrorMessage="1" xr:uid="{57353D29-15AE-493B-A27E-1B7F49E7E218}">
          <x14:formula1>
            <xm:f>lijsten!$B$2:$B$42</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F412-FDAE-48B4-9823-40BBD7394094}">
  <sheetPr codeName="Sheet1"/>
  <dimension ref="A1:G61"/>
  <sheetViews>
    <sheetView topLeftCell="A25" workbookViewId="0">
      <selection activeCell="H23" sqref="H23"/>
    </sheetView>
  </sheetViews>
  <sheetFormatPr defaultColWidth="8.77734375" defaultRowHeight="14.4" x14ac:dyDescent="0.3"/>
  <cols>
    <col min="1" max="1" width="16.109375" customWidth="1"/>
    <col min="2" max="2" width="9.77734375" customWidth="1"/>
    <col min="3" max="3" width="10.33203125" customWidth="1"/>
    <col min="5" max="5" width="19.77734375" customWidth="1"/>
    <col min="7" max="7" width="13.109375" customWidth="1"/>
  </cols>
  <sheetData>
    <row r="1" spans="1:7" x14ac:dyDescent="0.3">
      <c r="A1" s="5" t="s">
        <v>38</v>
      </c>
      <c r="B1" s="5" t="s">
        <v>37</v>
      </c>
      <c r="E1" s="11" t="s">
        <v>39</v>
      </c>
      <c r="G1" s="10" t="s">
        <v>36</v>
      </c>
    </row>
    <row r="2" spans="1:7" x14ac:dyDescent="0.3">
      <c r="A2" s="8">
        <v>1</v>
      </c>
      <c r="B2" s="8">
        <v>1</v>
      </c>
      <c r="E2" s="9">
        <v>60</v>
      </c>
      <c r="G2" s="9" t="s">
        <v>0</v>
      </c>
    </row>
    <row r="3" spans="1:7" x14ac:dyDescent="0.3">
      <c r="A3" s="8">
        <f>+A2-1%</f>
        <v>0.99</v>
      </c>
      <c r="B3" s="8">
        <f>+B2-1%</f>
        <v>0.99</v>
      </c>
      <c r="E3" s="9">
        <v>59</v>
      </c>
      <c r="G3" s="9" t="s">
        <v>1</v>
      </c>
    </row>
    <row r="4" spans="1:7" x14ac:dyDescent="0.3">
      <c r="A4" s="8">
        <f t="shared" ref="A4:A52" si="0">+A3-1%</f>
        <v>0.98</v>
      </c>
      <c r="B4" s="8">
        <f t="shared" ref="B4:B42" si="1">+B3-1%</f>
        <v>0.98</v>
      </c>
      <c r="E4" s="9">
        <v>58</v>
      </c>
    </row>
    <row r="5" spans="1:7" x14ac:dyDescent="0.3">
      <c r="A5" s="8">
        <f t="shared" si="0"/>
        <v>0.97</v>
      </c>
      <c r="B5" s="8">
        <f t="shared" si="1"/>
        <v>0.97</v>
      </c>
      <c r="E5" s="9">
        <v>57</v>
      </c>
      <c r="G5" s="10" t="s">
        <v>47</v>
      </c>
    </row>
    <row r="6" spans="1:7" x14ac:dyDescent="0.3">
      <c r="A6" s="8">
        <f t="shared" si="0"/>
        <v>0.96</v>
      </c>
      <c r="B6" s="8">
        <f t="shared" si="1"/>
        <v>0.96</v>
      </c>
      <c r="E6" s="9">
        <v>56</v>
      </c>
      <c r="G6" s="10" t="s">
        <v>67</v>
      </c>
    </row>
    <row r="7" spans="1:7" x14ac:dyDescent="0.3">
      <c r="A7" s="8">
        <f t="shared" si="0"/>
        <v>0.95</v>
      </c>
      <c r="B7" s="8">
        <f t="shared" si="1"/>
        <v>0.95</v>
      </c>
      <c r="E7" s="9">
        <v>55</v>
      </c>
      <c r="G7" s="9" t="s">
        <v>46</v>
      </c>
    </row>
    <row r="8" spans="1:7" x14ac:dyDescent="0.3">
      <c r="A8" s="8">
        <f t="shared" si="0"/>
        <v>0.94</v>
      </c>
      <c r="B8" s="8">
        <f t="shared" si="1"/>
        <v>0.94</v>
      </c>
      <c r="E8" s="9">
        <v>54</v>
      </c>
      <c r="G8" s="9" t="s">
        <v>48</v>
      </c>
    </row>
    <row r="9" spans="1:7" x14ac:dyDescent="0.3">
      <c r="A9" s="8">
        <f t="shared" si="0"/>
        <v>0.92999999999999994</v>
      </c>
      <c r="B9" s="8">
        <f t="shared" si="1"/>
        <v>0.92999999999999994</v>
      </c>
      <c r="E9" s="9">
        <v>53</v>
      </c>
    </row>
    <row r="10" spans="1:7" x14ac:dyDescent="0.3">
      <c r="A10" s="8">
        <f t="shared" si="0"/>
        <v>0.91999999999999993</v>
      </c>
      <c r="B10" s="8">
        <f t="shared" si="1"/>
        <v>0.91999999999999993</v>
      </c>
      <c r="E10" s="9">
        <v>52</v>
      </c>
    </row>
    <row r="11" spans="1:7" x14ac:dyDescent="0.3">
      <c r="A11" s="8">
        <f t="shared" si="0"/>
        <v>0.90999999999999992</v>
      </c>
      <c r="B11" s="8">
        <f t="shared" si="1"/>
        <v>0.90999999999999992</v>
      </c>
      <c r="E11" s="9">
        <v>51</v>
      </c>
    </row>
    <row r="12" spans="1:7" x14ac:dyDescent="0.3">
      <c r="A12" s="8">
        <f t="shared" si="0"/>
        <v>0.89999999999999991</v>
      </c>
      <c r="B12" s="8">
        <f t="shared" si="1"/>
        <v>0.89999999999999991</v>
      </c>
      <c r="E12" s="9">
        <v>50</v>
      </c>
    </row>
    <row r="13" spans="1:7" x14ac:dyDescent="0.3">
      <c r="A13" s="8">
        <f t="shared" si="0"/>
        <v>0.8899999999999999</v>
      </c>
      <c r="B13" s="8">
        <f t="shared" si="1"/>
        <v>0.8899999999999999</v>
      </c>
      <c r="E13" s="9">
        <v>49</v>
      </c>
    </row>
    <row r="14" spans="1:7" x14ac:dyDescent="0.3">
      <c r="A14" s="8">
        <f t="shared" si="0"/>
        <v>0.87999999999999989</v>
      </c>
      <c r="B14" s="8">
        <f t="shared" si="1"/>
        <v>0.87999999999999989</v>
      </c>
      <c r="E14" s="9">
        <v>48</v>
      </c>
    </row>
    <row r="15" spans="1:7" x14ac:dyDescent="0.3">
      <c r="A15" s="8">
        <f t="shared" si="0"/>
        <v>0.86999999999999988</v>
      </c>
      <c r="B15" s="8">
        <f t="shared" si="1"/>
        <v>0.86999999999999988</v>
      </c>
      <c r="E15" s="9">
        <v>47</v>
      </c>
    </row>
    <row r="16" spans="1:7" x14ac:dyDescent="0.3">
      <c r="A16" s="8">
        <f t="shared" si="0"/>
        <v>0.85999999999999988</v>
      </c>
      <c r="B16" s="8">
        <f t="shared" si="1"/>
        <v>0.85999999999999988</v>
      </c>
      <c r="E16" s="9">
        <v>46</v>
      </c>
    </row>
    <row r="17" spans="1:5" x14ac:dyDescent="0.3">
      <c r="A17" s="8">
        <f t="shared" si="0"/>
        <v>0.84999999999999987</v>
      </c>
      <c r="B17" s="8">
        <f t="shared" si="1"/>
        <v>0.84999999999999987</v>
      </c>
      <c r="E17" s="9">
        <v>45</v>
      </c>
    </row>
    <row r="18" spans="1:5" x14ac:dyDescent="0.3">
      <c r="A18" s="8">
        <f t="shared" si="0"/>
        <v>0.83999999999999986</v>
      </c>
      <c r="B18" s="8">
        <f t="shared" si="1"/>
        <v>0.83999999999999986</v>
      </c>
      <c r="E18" s="9">
        <v>44</v>
      </c>
    </row>
    <row r="19" spans="1:5" x14ac:dyDescent="0.3">
      <c r="A19" s="8">
        <f t="shared" si="0"/>
        <v>0.82999999999999985</v>
      </c>
      <c r="B19" s="8">
        <f t="shared" si="1"/>
        <v>0.82999999999999985</v>
      </c>
      <c r="E19" s="9">
        <v>43</v>
      </c>
    </row>
    <row r="20" spans="1:5" x14ac:dyDescent="0.3">
      <c r="A20" s="8">
        <f t="shared" si="0"/>
        <v>0.81999999999999984</v>
      </c>
      <c r="B20" s="8">
        <f t="shared" si="1"/>
        <v>0.81999999999999984</v>
      </c>
      <c r="C20" s="10" t="s">
        <v>35</v>
      </c>
      <c r="E20" s="9">
        <v>42</v>
      </c>
    </row>
    <row r="21" spans="1:5" x14ac:dyDescent="0.3">
      <c r="A21" s="8">
        <f t="shared" si="0"/>
        <v>0.80999999999999983</v>
      </c>
      <c r="B21" s="8">
        <f t="shared" si="1"/>
        <v>0.80999999999999983</v>
      </c>
      <c r="C21" s="9">
        <v>40</v>
      </c>
      <c r="E21" s="9">
        <v>41</v>
      </c>
    </row>
    <row r="22" spans="1:5" x14ac:dyDescent="0.3">
      <c r="A22" s="8">
        <f t="shared" si="0"/>
        <v>0.79999999999999982</v>
      </c>
      <c r="B22" s="8">
        <f t="shared" si="1"/>
        <v>0.79999999999999982</v>
      </c>
      <c r="C22" s="9">
        <v>39</v>
      </c>
      <c r="E22" s="9">
        <v>40</v>
      </c>
    </row>
    <row r="23" spans="1:5" x14ac:dyDescent="0.3">
      <c r="A23" s="8">
        <f t="shared" si="0"/>
        <v>0.78999999999999981</v>
      </c>
      <c r="B23" s="8">
        <f t="shared" si="1"/>
        <v>0.78999999999999981</v>
      </c>
      <c r="C23" s="9">
        <v>38</v>
      </c>
      <c r="E23" s="9">
        <v>39</v>
      </c>
    </row>
    <row r="24" spans="1:5" x14ac:dyDescent="0.3">
      <c r="A24" s="8">
        <f t="shared" si="0"/>
        <v>0.7799999999999998</v>
      </c>
      <c r="B24" s="8">
        <f t="shared" si="1"/>
        <v>0.7799999999999998</v>
      </c>
      <c r="C24" s="9">
        <v>37</v>
      </c>
      <c r="E24" s="9">
        <v>38</v>
      </c>
    </row>
    <row r="25" spans="1:5" x14ac:dyDescent="0.3">
      <c r="A25" s="8">
        <f t="shared" si="0"/>
        <v>0.7699999999999998</v>
      </c>
      <c r="B25" s="8">
        <f t="shared" si="1"/>
        <v>0.7699999999999998</v>
      </c>
      <c r="C25" s="9">
        <v>36</v>
      </c>
      <c r="E25" s="9">
        <v>37</v>
      </c>
    </row>
    <row r="26" spans="1:5" x14ac:dyDescent="0.3">
      <c r="A26" s="8">
        <f t="shared" si="0"/>
        <v>0.75999999999999979</v>
      </c>
      <c r="B26" s="8">
        <f t="shared" si="1"/>
        <v>0.75999999999999979</v>
      </c>
      <c r="E26" s="9">
        <v>36</v>
      </c>
    </row>
    <row r="27" spans="1:5" x14ac:dyDescent="0.3">
      <c r="A27" s="8">
        <f t="shared" si="0"/>
        <v>0.74999999999999978</v>
      </c>
      <c r="B27" s="8">
        <f t="shared" si="1"/>
        <v>0.74999999999999978</v>
      </c>
      <c r="E27" s="9">
        <v>35</v>
      </c>
    </row>
    <row r="28" spans="1:5" x14ac:dyDescent="0.3">
      <c r="A28" s="8">
        <f t="shared" si="0"/>
        <v>0.73999999999999977</v>
      </c>
      <c r="B28" s="8">
        <f t="shared" si="1"/>
        <v>0.73999999999999977</v>
      </c>
      <c r="E28" s="9">
        <v>34</v>
      </c>
    </row>
    <row r="29" spans="1:5" x14ac:dyDescent="0.3">
      <c r="A29" s="8">
        <f t="shared" si="0"/>
        <v>0.72999999999999976</v>
      </c>
      <c r="B29" s="8">
        <f t="shared" si="1"/>
        <v>0.72999999999999976</v>
      </c>
      <c r="E29" s="9">
        <v>33</v>
      </c>
    </row>
    <row r="30" spans="1:5" x14ac:dyDescent="0.3">
      <c r="A30" s="8">
        <f t="shared" si="0"/>
        <v>0.71999999999999975</v>
      </c>
      <c r="B30" s="8">
        <f t="shared" si="1"/>
        <v>0.71999999999999975</v>
      </c>
      <c r="E30" s="9">
        <v>32</v>
      </c>
    </row>
    <row r="31" spans="1:5" x14ac:dyDescent="0.3">
      <c r="A31" s="8">
        <f t="shared" si="0"/>
        <v>0.70999999999999974</v>
      </c>
      <c r="B31" s="8">
        <f t="shared" si="1"/>
        <v>0.70999999999999974</v>
      </c>
      <c r="E31" s="9">
        <v>31</v>
      </c>
    </row>
    <row r="32" spans="1:5" x14ac:dyDescent="0.3">
      <c r="A32" s="8">
        <f t="shared" si="0"/>
        <v>0.69999999999999973</v>
      </c>
      <c r="B32" s="8">
        <f t="shared" si="1"/>
        <v>0.69999999999999973</v>
      </c>
      <c r="E32" s="9">
        <v>30</v>
      </c>
    </row>
    <row r="33" spans="1:5" x14ac:dyDescent="0.3">
      <c r="A33" s="8">
        <f t="shared" si="0"/>
        <v>0.68999999999999972</v>
      </c>
      <c r="B33" s="8">
        <f t="shared" si="1"/>
        <v>0.68999999999999972</v>
      </c>
      <c r="E33" s="9">
        <v>29</v>
      </c>
    </row>
    <row r="34" spans="1:5" x14ac:dyDescent="0.3">
      <c r="A34" s="8">
        <f t="shared" si="0"/>
        <v>0.67999999999999972</v>
      </c>
      <c r="B34" s="8">
        <f t="shared" si="1"/>
        <v>0.67999999999999972</v>
      </c>
      <c r="E34" s="9">
        <v>28</v>
      </c>
    </row>
    <row r="35" spans="1:5" x14ac:dyDescent="0.3">
      <c r="A35" s="8">
        <f t="shared" si="0"/>
        <v>0.66999999999999971</v>
      </c>
      <c r="B35" s="8">
        <f t="shared" si="1"/>
        <v>0.66999999999999971</v>
      </c>
      <c r="E35" s="9">
        <v>27</v>
      </c>
    </row>
    <row r="36" spans="1:5" x14ac:dyDescent="0.3">
      <c r="A36" s="8">
        <f t="shared" si="0"/>
        <v>0.6599999999999997</v>
      </c>
      <c r="B36" s="8">
        <f t="shared" si="1"/>
        <v>0.6599999999999997</v>
      </c>
      <c r="E36" s="9">
        <v>26</v>
      </c>
    </row>
    <row r="37" spans="1:5" x14ac:dyDescent="0.3">
      <c r="A37" s="8">
        <f t="shared" si="0"/>
        <v>0.64999999999999969</v>
      </c>
      <c r="B37" s="8">
        <f t="shared" si="1"/>
        <v>0.64999999999999969</v>
      </c>
      <c r="E37" s="9">
        <v>25</v>
      </c>
    </row>
    <row r="38" spans="1:5" x14ac:dyDescent="0.3">
      <c r="A38" s="8">
        <f t="shared" si="0"/>
        <v>0.63999999999999968</v>
      </c>
      <c r="B38" s="8">
        <f t="shared" si="1"/>
        <v>0.63999999999999968</v>
      </c>
      <c r="E38" s="9">
        <v>24</v>
      </c>
    </row>
    <row r="39" spans="1:5" x14ac:dyDescent="0.3">
      <c r="A39" s="8">
        <f t="shared" si="0"/>
        <v>0.62999999999999967</v>
      </c>
      <c r="B39" s="8">
        <f t="shared" si="1"/>
        <v>0.62999999999999967</v>
      </c>
      <c r="E39" s="9">
        <v>23</v>
      </c>
    </row>
    <row r="40" spans="1:5" x14ac:dyDescent="0.3">
      <c r="A40" s="8">
        <f t="shared" si="0"/>
        <v>0.61999999999999966</v>
      </c>
      <c r="B40" s="8">
        <f t="shared" si="1"/>
        <v>0.61999999999999966</v>
      </c>
      <c r="E40" s="9">
        <v>22</v>
      </c>
    </row>
    <row r="41" spans="1:5" x14ac:dyDescent="0.3">
      <c r="A41" s="8">
        <f t="shared" si="0"/>
        <v>0.60999999999999965</v>
      </c>
      <c r="B41" s="8">
        <f t="shared" si="1"/>
        <v>0.60999999999999965</v>
      </c>
      <c r="E41" s="9">
        <v>21</v>
      </c>
    </row>
    <row r="42" spans="1:5" x14ac:dyDescent="0.3">
      <c r="A42" s="8">
        <f t="shared" si="0"/>
        <v>0.59999999999999964</v>
      </c>
      <c r="B42" s="8">
        <f t="shared" si="1"/>
        <v>0.59999999999999964</v>
      </c>
      <c r="E42" s="9">
        <v>20</v>
      </c>
    </row>
    <row r="43" spans="1:5" x14ac:dyDescent="0.3">
      <c r="A43" s="8">
        <f t="shared" si="0"/>
        <v>0.58999999999999964</v>
      </c>
      <c r="E43" s="9">
        <v>19</v>
      </c>
    </row>
    <row r="44" spans="1:5" x14ac:dyDescent="0.3">
      <c r="A44" s="8">
        <f t="shared" si="0"/>
        <v>0.57999999999999963</v>
      </c>
      <c r="E44" s="9">
        <v>18</v>
      </c>
    </row>
    <row r="45" spans="1:5" x14ac:dyDescent="0.3">
      <c r="A45" s="8">
        <f t="shared" si="0"/>
        <v>0.56999999999999962</v>
      </c>
      <c r="E45" s="9">
        <v>17</v>
      </c>
    </row>
    <row r="46" spans="1:5" x14ac:dyDescent="0.3">
      <c r="A46" s="8">
        <f t="shared" si="0"/>
        <v>0.55999999999999961</v>
      </c>
      <c r="E46" s="9">
        <v>16</v>
      </c>
    </row>
    <row r="47" spans="1:5" x14ac:dyDescent="0.3">
      <c r="A47" s="8">
        <f t="shared" si="0"/>
        <v>0.5499999999999996</v>
      </c>
      <c r="E47" s="9">
        <v>15</v>
      </c>
    </row>
    <row r="48" spans="1:5" x14ac:dyDescent="0.3">
      <c r="A48" s="8">
        <f t="shared" si="0"/>
        <v>0.53999999999999959</v>
      </c>
      <c r="E48" s="9">
        <v>14</v>
      </c>
    </row>
    <row r="49" spans="1:5" x14ac:dyDescent="0.3">
      <c r="A49" s="8">
        <f t="shared" si="0"/>
        <v>0.52999999999999958</v>
      </c>
      <c r="E49" s="9">
        <v>13</v>
      </c>
    </row>
    <row r="50" spans="1:5" x14ac:dyDescent="0.3">
      <c r="A50" s="8">
        <f t="shared" si="0"/>
        <v>0.51999999999999957</v>
      </c>
      <c r="E50" s="9">
        <v>12</v>
      </c>
    </row>
    <row r="51" spans="1:5" x14ac:dyDescent="0.3">
      <c r="A51" s="8">
        <f t="shared" si="0"/>
        <v>0.50999999999999956</v>
      </c>
      <c r="E51" s="9">
        <v>11</v>
      </c>
    </row>
    <row r="52" spans="1:5" x14ac:dyDescent="0.3">
      <c r="A52" s="8">
        <f t="shared" si="0"/>
        <v>0.49999999999999956</v>
      </c>
      <c r="E52" s="9">
        <v>10</v>
      </c>
    </row>
    <row r="53" spans="1:5" x14ac:dyDescent="0.3">
      <c r="E53" s="9">
        <v>9</v>
      </c>
    </row>
    <row r="54" spans="1:5" x14ac:dyDescent="0.3">
      <c r="E54" s="9">
        <v>8</v>
      </c>
    </row>
    <row r="55" spans="1:5" x14ac:dyDescent="0.3">
      <c r="E55" s="9">
        <v>7</v>
      </c>
    </row>
    <row r="56" spans="1:5" x14ac:dyDescent="0.3">
      <c r="E56" s="9">
        <v>6</v>
      </c>
    </row>
    <row r="57" spans="1:5" x14ac:dyDescent="0.3">
      <c r="E57" s="9">
        <v>5</v>
      </c>
    </row>
    <row r="58" spans="1:5" x14ac:dyDescent="0.3">
      <c r="E58" s="9">
        <v>4</v>
      </c>
    </row>
    <row r="59" spans="1:5" x14ac:dyDescent="0.3">
      <c r="E59" s="9">
        <v>3</v>
      </c>
    </row>
    <row r="60" spans="1:5" x14ac:dyDescent="0.3">
      <c r="E60" s="9">
        <v>2</v>
      </c>
    </row>
    <row r="61" spans="1:5" x14ac:dyDescent="0.3">
      <c r="E61" s="9">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8BF9-A8B3-49D7-A700-D36BCA577D44}">
  <sheetPr codeName="Sheet2"/>
  <dimension ref="B1:F23"/>
  <sheetViews>
    <sheetView workbookViewId="0">
      <selection activeCell="C2" sqref="C2"/>
    </sheetView>
  </sheetViews>
  <sheetFormatPr defaultColWidth="8.77734375" defaultRowHeight="14.4" x14ac:dyDescent="0.3"/>
  <cols>
    <col min="2" max="2" width="43.44140625" customWidth="1"/>
    <col min="3" max="3" width="12.33203125" bestFit="1" customWidth="1"/>
    <col min="4" max="4" width="13" bestFit="1" customWidth="1"/>
    <col min="5" max="5" width="19.109375" customWidth="1"/>
  </cols>
  <sheetData>
    <row r="1" spans="2:5" x14ac:dyDescent="0.3">
      <c r="C1" s="84">
        <v>2025</v>
      </c>
      <c r="D1">
        <v>2024</v>
      </c>
      <c r="E1" s="85">
        <v>2023</v>
      </c>
    </row>
    <row r="2" spans="2:5" x14ac:dyDescent="0.3">
      <c r="B2" t="s">
        <v>84</v>
      </c>
      <c r="C2" s="86">
        <v>137800</v>
      </c>
      <c r="D2" s="87">
        <v>137800</v>
      </c>
      <c r="E2" s="87">
        <v>128810</v>
      </c>
    </row>
    <row r="3" spans="2:5" x14ac:dyDescent="0.3">
      <c r="B3" t="s">
        <v>85</v>
      </c>
      <c r="C3" s="88">
        <v>75864</v>
      </c>
      <c r="D3" s="87">
        <v>71628</v>
      </c>
      <c r="E3" s="87">
        <v>66956</v>
      </c>
    </row>
    <row r="5" spans="2:5" x14ac:dyDescent="0.3">
      <c r="B5" t="s">
        <v>25</v>
      </c>
    </row>
    <row r="6" spans="2:5" x14ac:dyDescent="0.3">
      <c r="B6" s="1" t="s">
        <v>21</v>
      </c>
      <c r="C6" s="6">
        <f>+Tool!$C$14</f>
        <v>40000</v>
      </c>
    </row>
    <row r="7" spans="2:5" x14ac:dyDescent="0.3">
      <c r="B7" s="1" t="s">
        <v>23</v>
      </c>
      <c r="C7" s="6">
        <f>MIN(C6,$C$2)</f>
        <v>40000</v>
      </c>
    </row>
    <row r="8" spans="2:5" x14ac:dyDescent="0.3">
      <c r="B8" s="1" t="s">
        <v>3</v>
      </c>
      <c r="C8" s="6">
        <f>Tool!$C$18</f>
        <v>17896</v>
      </c>
    </row>
    <row r="9" spans="2:5" x14ac:dyDescent="0.3">
      <c r="B9" s="1" t="s">
        <v>22</v>
      </c>
      <c r="C9" s="6">
        <f>MAX(C7-C8,0)</f>
        <v>22104</v>
      </c>
    </row>
    <row r="10" spans="2:5" x14ac:dyDescent="0.3">
      <c r="B10" s="1" t="s">
        <v>9</v>
      </c>
      <c r="C10" s="6">
        <f>+C9*Tool!$C$20*Tool!$C$26</f>
        <v>3890.3039999999996</v>
      </c>
    </row>
    <row r="11" spans="2:5" x14ac:dyDescent="0.3">
      <c r="C11" s="6"/>
    </row>
    <row r="12" spans="2:5" x14ac:dyDescent="0.3">
      <c r="B12" t="s">
        <v>24</v>
      </c>
    </row>
    <row r="13" spans="2:5" x14ac:dyDescent="0.3">
      <c r="B13" s="1" t="s">
        <v>21</v>
      </c>
      <c r="C13" s="6">
        <f>+Tool!$C$15</f>
        <v>36000</v>
      </c>
    </row>
    <row r="14" spans="2:5" x14ac:dyDescent="0.3">
      <c r="B14" s="1" t="s">
        <v>23</v>
      </c>
      <c r="C14" s="6">
        <f>MIN(C13,$C$2)</f>
        <v>36000</v>
      </c>
    </row>
    <row r="15" spans="2:5" x14ac:dyDescent="0.3">
      <c r="B15" s="1" t="s">
        <v>3</v>
      </c>
      <c r="C15" s="6">
        <f>Tool!$C$18</f>
        <v>17896</v>
      </c>
    </row>
    <row r="16" spans="2:5" x14ac:dyDescent="0.3">
      <c r="B16" s="1" t="s">
        <v>22</v>
      </c>
      <c r="C16" s="6">
        <f>MAX(C14-C15,0)</f>
        <v>18104</v>
      </c>
    </row>
    <row r="17" spans="2:6" x14ac:dyDescent="0.3">
      <c r="B17" s="1" t="s">
        <v>9</v>
      </c>
      <c r="C17" s="6">
        <f>+C16*Tool!$C$20*Tool!$C$26</f>
        <v>3186.3039999999996</v>
      </c>
    </row>
    <row r="19" spans="2:6" x14ac:dyDescent="0.3">
      <c r="C19" s="7" t="s">
        <v>29</v>
      </c>
      <c r="D19" s="7" t="s">
        <v>30</v>
      </c>
      <c r="E19" s="7" t="s">
        <v>32</v>
      </c>
      <c r="F19" s="7" t="s">
        <v>31</v>
      </c>
    </row>
    <row r="20" spans="2:6" x14ac:dyDescent="0.3">
      <c r="B20" s="1" t="s">
        <v>26</v>
      </c>
      <c r="C20" s="3">
        <f>+C6</f>
        <v>40000</v>
      </c>
      <c r="D20" s="3">
        <f>C9*Tool!$C$19*-1</f>
        <v>-1945.1519999999998</v>
      </c>
      <c r="E20" s="3">
        <f>MIN(SUM(C20:D20),$C$3)</f>
        <v>38054.847999999998</v>
      </c>
      <c r="F20" s="3">
        <f>+E20*Tool!$C$21</f>
        <v>7610.9696000000004</v>
      </c>
    </row>
    <row r="21" spans="2:6" x14ac:dyDescent="0.3">
      <c r="B21" s="1" t="s">
        <v>27</v>
      </c>
      <c r="C21" s="3">
        <f>+C20*Tool!$C$25</f>
        <v>36000</v>
      </c>
      <c r="D21" s="3">
        <f>+D20*Tool!$C$26</f>
        <v>-1945.1519999999998</v>
      </c>
      <c r="E21" s="3">
        <f>MIN(SUM(C21:D21),$C$3)</f>
        <v>34054.847999999998</v>
      </c>
      <c r="F21" s="3">
        <f>+E21*Tool!$C$21</f>
        <v>6810.9696000000004</v>
      </c>
    </row>
    <row r="22" spans="2:6" x14ac:dyDescent="0.3">
      <c r="B22" s="1" t="s">
        <v>28</v>
      </c>
      <c r="C22" s="3">
        <f>+Tool!C15*Tool!C13</f>
        <v>7200</v>
      </c>
      <c r="D22" s="3">
        <f>+C16*Tool!C13*Tool!C19*-1</f>
        <v>-318.63040000000001</v>
      </c>
      <c r="E22" s="3">
        <f>MIN(SUM(C22:D22),$C$3)</f>
        <v>6881.3696</v>
      </c>
      <c r="F22" s="3">
        <f>+E22*Tool!$C$21</f>
        <v>1376.2739200000001</v>
      </c>
    </row>
    <row r="23" spans="2:6" x14ac:dyDescent="0.3">
      <c r="C23" s="3"/>
      <c r="D23" s="3"/>
      <c r="E23" s="4"/>
    </row>
  </sheetData>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d Document" ma:contentTypeID="0x0101002F41B0BF3435DE409446F8A4C816A9910B00108FCC21D4F7AC4AA8E8B13DD00ED1FF" ma:contentTypeVersion="243" ma:contentTypeDescription="Een nieuw document maken." ma:contentTypeScope="" ma:versionID="bd6b130366eb1bff5265e79bf3baf27e">
  <xsd:schema xmlns:xsd="http://www.w3.org/2001/XMLSchema" xmlns:xs="http://www.w3.org/2001/XMLSchema" xmlns:p="http://schemas.microsoft.com/office/2006/metadata/properties" xmlns:ns2="40258e7b-703f-4e35-9311-87c4af9a2fa7" xmlns:ns3="c88ecf82-2823-4e26-abcb-01c5d530d311" xmlns:ns4="7da63153-4968-44ec-9adc-700170114ea3" targetNamespace="http://schemas.microsoft.com/office/2006/metadata/properties" ma:root="true" ma:fieldsID="73941fbdfa0657e9e56f9b4daf7a2fd8" ns2:_="" ns3:_="" ns4:_="">
    <xsd:import namespace="40258e7b-703f-4e35-9311-87c4af9a2fa7"/>
    <xsd:import namespace="c88ecf82-2823-4e26-abcb-01c5d530d311"/>
    <xsd:import namespace="7da63153-4968-44ec-9adc-700170114ea3"/>
    <xsd:element name="properties">
      <xsd:complexType>
        <xsd:sequence>
          <xsd:element name="documentManagement">
            <xsd:complexType>
              <xsd:all>
                <xsd:element ref="ns2:dd66522fce524e1599b23113123faa19" minOccurs="0"/>
                <xsd:element ref="ns2:TaxCatchAll" minOccurs="0"/>
                <xsd:element ref="ns2:TaxCatchAllLabel" minOccurs="0"/>
                <xsd:element ref="ns2:cba6d41f6bce4cde959f652ccd036939" minOccurs="0"/>
                <xsd:element ref="ns2:o17dd0c0b4e34f358a7d02542c1c34d7" minOccurs="0"/>
                <xsd:element ref="ns2:Adviseur" minOccurs="0"/>
                <xsd:element ref="ns2:pda35500017e44d18705d26494d64e84" minOccurs="0"/>
                <xsd:element ref="ns2:Document-id_x0020_2010" minOccurs="0"/>
                <xsd:element ref="ns2:oc012d9a303a4a6f92ae7f7f15c7361a" minOccurs="0"/>
                <xsd:element ref="ns3:_dlc_DocId" minOccurs="0"/>
                <xsd:element ref="ns3:_dlc_DocIdUrl" minOccurs="0"/>
                <xsd:element ref="ns3:_dlc_DocIdPersistId"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lcf76f155ced4ddcb4097134ff3c332f" minOccurs="0"/>
                <xsd:element ref="ns4:MediaServiceObjectDetectorVersions" minOccurs="0"/>
                <xsd:element ref="ns4:MediaServiceSearchPropertie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258e7b-703f-4e35-9311-87c4af9a2fa7" elementFormDefault="qualified">
    <xsd:import namespace="http://schemas.microsoft.com/office/2006/documentManagement/types"/>
    <xsd:import namespace="http://schemas.microsoft.com/office/infopath/2007/PartnerControls"/>
    <xsd:element name="dd66522fce524e1599b23113123faa19" ma:index="8" nillable="true" ma:taxonomy="true" ma:internalName="dd66522fce524e1599b23113123faa19" ma:taxonomyFieldName="Afdeling_x0020_AWVN" ma:displayName="Afdeling AWVN" ma:default="106;#Internationaal ＆ Fiscaal|9be25ecb-6acf-4c3e-af0c-d245ba965ddf" ma:fieldId="{dd66522f-ce52-4e15-99b2-3113123faa19}" ma:sspId="aa491eee-ba12-4bfb-ab50-6fe7ee6dbe30" ma:termSetId="b991bd15-a1ac-413f-80fb-9422f9d334b9"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1997d317-b9ea-4e78-8d4c-5206fe7236c2}" ma:internalName="TaxCatchAll" ma:showField="CatchAllData" ma:web="c88ecf82-2823-4e26-abcb-01c5d530d31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1997d317-b9ea-4e78-8d4c-5206fe7236c2}" ma:internalName="TaxCatchAllLabel" ma:readOnly="true" ma:showField="CatchAllDataLabel" ma:web="c88ecf82-2823-4e26-abcb-01c5d530d311">
      <xsd:complexType>
        <xsd:complexContent>
          <xsd:extension base="dms:MultiChoiceLookup">
            <xsd:sequence>
              <xsd:element name="Value" type="dms:Lookup" maxOccurs="unbounded" minOccurs="0" nillable="true"/>
            </xsd:sequence>
          </xsd:extension>
        </xsd:complexContent>
      </xsd:complexType>
    </xsd:element>
    <xsd:element name="cba6d41f6bce4cde959f652ccd036939" ma:index="12" nillable="true" ma:taxonomy="true" ma:internalName="cba6d41f6bce4cde959f652ccd036939" ma:taxonomyFieldName="Documentsoort" ma:displayName="Documentsoort" ma:default="" ma:fieldId="{cba6d41f-6bce-4cde-959f-652ccd036939}" ma:sspId="aa491eee-ba12-4bfb-ab50-6fe7ee6dbe30" ma:termSetId="61297c6f-50dd-47ca-bf82-ebde9932baba" ma:anchorId="00000000-0000-0000-0000-000000000000" ma:open="false" ma:isKeyword="false">
      <xsd:complexType>
        <xsd:sequence>
          <xsd:element ref="pc:Terms" minOccurs="0" maxOccurs="1"/>
        </xsd:sequence>
      </xsd:complexType>
    </xsd:element>
    <xsd:element name="o17dd0c0b4e34f358a7d02542c1c34d7" ma:index="14" nillable="true" ma:taxonomy="true" ma:internalName="o17dd0c0b4e34f358a7d02542c1c34d7" ma:taxonomyFieldName="Relatie_x0020_AWVN" ma:displayName="Relatie AWVN" ma:default="" ma:fieldId="{817dd0c0-b4e3-4f35-8a7d-02542c1c34d7}" ma:sspId="aa491eee-ba12-4bfb-ab50-6fe7ee6dbe30" ma:termSetId="e7a1181a-e1c5-48bb-a060-43b4e8a3eee6" ma:anchorId="00000000-0000-0000-0000-000000000000" ma:open="false" ma:isKeyword="false">
      <xsd:complexType>
        <xsd:sequence>
          <xsd:element ref="pc:Terms" minOccurs="0" maxOccurs="1"/>
        </xsd:sequence>
      </xsd:complexType>
    </xsd:element>
    <xsd:element name="Adviseur" ma:index="16" nillable="true" ma:displayName="Adviseur" ma:list="UserInfo" ma:SharePointGroup="0" ma:internalName="Advise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da35500017e44d18705d26494d64e84" ma:index="17" nillable="true" ma:taxonomy="true" ma:internalName="pda35500017e44d18705d26494d64e84" ma:taxonomyFieldName="Product" ma:displayName="Product" ma:default="" ma:fieldId="{9da35500-017e-44d1-8705-d26494d64e84}" ma:sspId="aa491eee-ba12-4bfb-ab50-6fe7ee6dbe30" ma:termSetId="d08def04-2144-45c1-8273-29489715f5c1" ma:anchorId="00000000-0000-0000-0000-000000000000" ma:open="false" ma:isKeyword="false">
      <xsd:complexType>
        <xsd:sequence>
          <xsd:element ref="pc:Terms" minOccurs="0" maxOccurs="1"/>
        </xsd:sequence>
      </xsd:complexType>
    </xsd:element>
    <xsd:element name="Document-id_x0020_2010" ma:index="19" nillable="true" ma:displayName="Document-id 2010" ma:hidden="true" ma:internalName="Document_x002d_id_x0020_2010" ma:readOnly="false">
      <xsd:simpleType>
        <xsd:restriction base="dms:Text">
          <xsd:maxLength value="20"/>
        </xsd:restriction>
      </xsd:simpleType>
    </xsd:element>
    <xsd:element name="oc012d9a303a4a6f92ae7f7f15c7361a" ma:index="20" nillable="true" ma:taxonomy="true" ma:internalName="oc012d9a303a4a6f92ae7f7f15c7361a" ma:taxonomyFieldName="Vrij_x0020_trefwoord" ma:displayName="Vrij trefwoord" ma:default="" ma:fieldId="{8c012d9a-303a-4a6f-92ae-7f7f15c7361a}" ma:sspId="aa491eee-ba12-4bfb-ab50-6fe7ee6dbe30" ma:termSetId="1fb2a62e-801d-46af-8f5f-c5c78363e58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8ecf82-2823-4e26-abcb-01c5d530d311" elementFormDefault="qualified">
    <xsd:import namespace="http://schemas.microsoft.com/office/2006/documentManagement/types"/>
    <xsd:import namespace="http://schemas.microsoft.com/office/infopath/2007/PartnerControls"/>
    <xsd:element name="_dlc_DocId" ma:index="22" nillable="true" ma:displayName="Waarde van de document-id" ma:description="De waarde van de document-id die aan dit item is toegewezen." ma:internalName="_dlc_DocId" ma:readOnly="true">
      <xsd:simpleType>
        <xsd:restriction base="dms:Text"/>
      </xsd:simpleType>
    </xsd:element>
    <xsd:element name="_dlc_DocIdUrl" ma:index="2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da63153-4968-44ec-9adc-700170114ea3" elementFormDefault="qualified">
    <xsd:import namespace="http://schemas.microsoft.com/office/2006/documentManagement/types"/>
    <xsd:import namespace="http://schemas.microsoft.com/office/infopath/2007/PartnerControls"/>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lcf76f155ced4ddcb4097134ff3c332f" ma:index="31" nillable="true" ma:taxonomy="true" ma:internalName="lcf76f155ced4ddcb4097134ff3c332f" ma:taxonomyFieldName="MediaServiceImageTags" ma:displayName="Afbeeldingtags" ma:readOnly="false" ma:fieldId="{5cf76f15-5ced-4ddc-b409-7134ff3c332f}" ma:taxonomyMulti="true" ma:sspId="aa491eee-ba12-4bfb-ab50-6fe7ee6dbe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DateTaken" ma:index="34"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c012d9a303a4a6f92ae7f7f15c7361a xmlns="40258e7b-703f-4e35-9311-87c4af9a2fa7">
      <Terms xmlns="http://schemas.microsoft.com/office/infopath/2007/PartnerControls"/>
    </oc012d9a303a4a6f92ae7f7f15c7361a>
    <_dlc_DocId xmlns="c88ecf82-2823-4e26-abcb-01c5d530d311">A000-475497763-27457</_dlc_DocId>
    <pda35500017e44d18705d26494d64e84 xmlns="40258e7b-703f-4e35-9311-87c4af9a2fa7">
      <Terms xmlns="http://schemas.microsoft.com/office/infopath/2007/PartnerControls"/>
    </pda35500017e44d18705d26494d64e84>
    <dd66522fce524e1599b23113123faa19 xmlns="40258e7b-703f-4e35-9311-87c4af9a2fa7">
      <Terms xmlns="http://schemas.microsoft.com/office/infopath/2007/PartnerControls">
        <TermInfo xmlns="http://schemas.microsoft.com/office/infopath/2007/PartnerControls">
          <TermName xmlns="http://schemas.microsoft.com/office/infopath/2007/PartnerControls">Internationaal ＆ Fiscaal</TermName>
          <TermId xmlns="http://schemas.microsoft.com/office/infopath/2007/PartnerControls">9be25ecb-6acf-4c3e-af0c-d245ba965ddf</TermId>
        </TermInfo>
      </Terms>
    </dd66522fce524e1599b23113123faa19>
    <o17dd0c0b4e34f358a7d02542c1c34d7 xmlns="40258e7b-703f-4e35-9311-87c4af9a2fa7">
      <Terms xmlns="http://schemas.microsoft.com/office/infopath/2007/PartnerControls"/>
    </o17dd0c0b4e34f358a7d02542c1c34d7>
    <_dlc_DocIdUrl xmlns="c88ecf82-2823-4e26-abcb-01c5d530d311">
      <Url>https://awvncrm.sharepoint.com/sites/afdelingen/Internationaal_Fiscaal/_layouts/15/DocIdRedir.aspx?ID=A000-475497763-27457</Url>
      <Description>A000-475497763-27457</Description>
    </_dlc_DocIdUrl>
    <cba6d41f6bce4cde959f652ccd036939 xmlns="40258e7b-703f-4e35-9311-87c4af9a2fa7">
      <Terms xmlns="http://schemas.microsoft.com/office/infopath/2007/PartnerControls"/>
    </cba6d41f6bce4cde959f652ccd036939>
    <Document-id_x0020_2010 xmlns="40258e7b-703f-4e35-9311-87c4af9a2fa7" xsi:nil="true"/>
    <Adviseur xmlns="40258e7b-703f-4e35-9311-87c4af9a2fa7">
      <UserInfo>
        <DisplayName/>
        <AccountId xsi:nil="true"/>
        <AccountType/>
      </UserInfo>
    </Adviseur>
    <lcf76f155ced4ddcb4097134ff3c332f xmlns="7da63153-4968-44ec-9adc-700170114ea3">
      <Terms xmlns="http://schemas.microsoft.com/office/infopath/2007/PartnerControls"/>
    </lcf76f155ced4ddcb4097134ff3c332f>
    <TaxCatchAll xmlns="40258e7b-703f-4e35-9311-87c4af9a2fa7">
      <Value>106</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aa491eee-ba12-4bfb-ab50-6fe7ee6dbe30" ContentTypeId="0x0101002F41B0BF3435DE409446F8A4C816A9910B" PreviousValue="false"/>
</file>

<file path=customXml/itemProps1.xml><?xml version="1.0" encoding="utf-8"?>
<ds:datastoreItem xmlns:ds="http://schemas.openxmlformats.org/officeDocument/2006/customXml" ds:itemID="{BEB0BDD5-5D9F-4307-AAA2-BC2B8DF7A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258e7b-703f-4e35-9311-87c4af9a2fa7"/>
    <ds:schemaRef ds:uri="c88ecf82-2823-4e26-abcb-01c5d530d311"/>
    <ds:schemaRef ds:uri="7da63153-4968-44ec-9adc-700170114e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739941-06FA-4885-9F5F-3D67394DFE89}">
  <ds:schemaRefs>
    <ds:schemaRef ds:uri="http://purl.org/dc/dcmitype/"/>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40258e7b-703f-4e35-9311-87c4af9a2fa7"/>
    <ds:schemaRef ds:uri="http://schemas.microsoft.com/office/infopath/2007/PartnerControls"/>
    <ds:schemaRef ds:uri="7da63153-4968-44ec-9adc-700170114ea3"/>
    <ds:schemaRef ds:uri="c88ecf82-2823-4e26-abcb-01c5d530d311"/>
  </ds:schemaRefs>
</ds:datastoreItem>
</file>

<file path=customXml/itemProps3.xml><?xml version="1.0" encoding="utf-8"?>
<ds:datastoreItem xmlns:ds="http://schemas.openxmlformats.org/officeDocument/2006/customXml" ds:itemID="{5B65FA4F-1D67-403D-8564-9A47919B5253}">
  <ds:schemaRefs>
    <ds:schemaRef ds:uri="http://schemas.microsoft.com/sharepoint/v3/contenttype/forms"/>
  </ds:schemaRefs>
</ds:datastoreItem>
</file>

<file path=customXml/itemProps4.xml><?xml version="1.0" encoding="utf-8"?>
<ds:datastoreItem xmlns:ds="http://schemas.openxmlformats.org/officeDocument/2006/customXml" ds:itemID="{4C6E663D-895E-4272-9B0C-BC7A5FACFF9B}">
  <ds:schemaRefs>
    <ds:schemaRef ds:uri="http://schemas.microsoft.com/sharepoint/events"/>
  </ds:schemaRefs>
</ds:datastoreItem>
</file>

<file path=customXml/itemProps5.xml><?xml version="1.0" encoding="utf-8"?>
<ds:datastoreItem xmlns:ds="http://schemas.openxmlformats.org/officeDocument/2006/customXml" ds:itemID="{2DA90B9F-69BC-48AE-9092-3219A074AC3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de Graaf</dc:creator>
  <cp:lastModifiedBy>Franca van Cleef</cp:lastModifiedBy>
  <cp:lastPrinted>2024-03-12T12:24:55Z</cp:lastPrinted>
  <dcterms:created xsi:type="dcterms:W3CDTF">2023-06-27T14:20:32Z</dcterms:created>
  <dcterms:modified xsi:type="dcterms:W3CDTF">2024-12-16T07:48:11Z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0x0101002F41B0BF3435DE409446F8A4C816A9910B00108FCC21D4F7AC4AA8E8B13DD00ED1FF</vt:lpwstr>
  </property>
  <property fmtid="{D5CDD505-2E9C-101B-9397-08002B2CF9AE}" pid="3" name="Afdeling AWVN">
    <vt:lpwstr>106;#Internationaal ＆ Fiscaal|9be25ecb-6acf-4c3e-af0c-d245ba965ddf</vt:lpwstr>
  </property>
  <property fmtid="{D5CDD505-2E9C-101B-9397-08002B2CF9AE}" pid="4" name="_dlc_DocIdItemGuid">
    <vt:lpwstr>38b0e51b-28ed-49cd-b768-c648a1614f9e</vt:lpwstr>
  </property>
  <property fmtid="{D5CDD505-2E9C-101B-9397-08002B2CF9AE}" pid="5" name="AWVNAfdelingTaxHTField0">
    <vt:lpwstr>Internationaal ＆ Fiscaal|9be25ecb-6acf-4c3e-af0c-d245ba965ddf</vt:lpwstr>
  </property>
  <property fmtid="{D5CDD505-2E9C-101B-9397-08002B2CF9AE}" pid="6" name="Relatie AWVN">
    <vt:lpwstr/>
  </property>
  <property fmtid="{D5CDD505-2E9C-101B-9397-08002B2CF9AE}" pid="7" name="MediaServiceImageTags">
    <vt:lpwstr/>
  </property>
  <property fmtid="{D5CDD505-2E9C-101B-9397-08002B2CF9AE}" pid="8" name="Afdeling_x0020_AWVN">
    <vt:lpwstr>106;#Internationaal ＆ Fiscaal|9be25ecb-6acf-4c3e-af0c-d245ba965ddf</vt:lpwstr>
  </property>
  <property fmtid="{D5CDD505-2E9C-101B-9397-08002B2CF9AE}" pid="9" name="AWVNAfdeling">
    <vt:lpwstr>106;#Internationaal ＆ Fiscaal|9be25ecb-6acf-4c3e-af0c-d245ba965ddf</vt:lpwstr>
  </property>
  <property fmtid="{D5CDD505-2E9C-101B-9397-08002B2CF9AE}" pid="10" name="Product">
    <vt:lpwstr/>
  </property>
  <property fmtid="{D5CDD505-2E9C-101B-9397-08002B2CF9AE}" pid="11" name="Vrij trefwoord">
    <vt:lpwstr/>
  </property>
  <property fmtid="{D5CDD505-2E9C-101B-9397-08002B2CF9AE}" pid="12" name="Documentsoort">
    <vt:lpwstr/>
  </property>
  <property fmtid="{D5CDD505-2E9C-101B-9397-08002B2CF9AE}" pid="13" name="Vrij_x0020_trefwoord">
    <vt:lpwstr/>
  </property>
  <property fmtid="{D5CDD505-2E9C-101B-9397-08002B2CF9AE}" pid="14" name="Relatie_x0020_AWVN">
    <vt:lpwstr/>
  </property>
</Properties>
</file>